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72" windowHeight="2556" tabRatio="778" activeTab="0"/>
  </bookViews>
  <sheets>
    <sheet name="intro" sheetId="1" r:id="rId1"/>
    <sheet name="summary" sheetId="2" r:id="rId2"/>
    <sheet name="characteristics" sheetId="3" r:id="rId3"/>
    <sheet name="universities" sheetId="4" r:id="rId4"/>
    <sheet name="subjects" sheetId="5" r:id="rId5"/>
    <sheet name="universities and subjects" sheetId="6" r:id="rId6"/>
    <sheet name="your applicants (2013)" sheetId="7" r:id="rId7"/>
    <sheet name="all choices (2013)" sheetId="8" r:id="rId8"/>
    <sheet name="DIY analysis" sheetId="9" r:id="rId9"/>
  </sheets>
  <definedNames>
    <definedName name="_xlnm._FilterDatabase" localSheetId="7" hidden="1">'all choices (2013)'!$B$10:$V$185</definedName>
    <definedName name="_xlnm._FilterDatabase" localSheetId="4" hidden="1">'subjects'!$C$39:$R$249</definedName>
    <definedName name="_xlnm._FilterDatabase" localSheetId="3" hidden="1">'universities'!$C$39:$S$358</definedName>
    <definedName name="_xlfn.RANK.EQ" hidden="1">#NAME?</definedName>
    <definedName name="corrlist" localSheetId="5">OFFSET(INDIRECT(ADDRESS(MATCH('universities and subjects'!val1cell,'universities and subjects'!object,0),18,,,"universities and subjects")),0,0,COUNTIF('universities and subjects'!object,'universities and subjects'!$B$12),1)</definedName>
    <definedName name="inst_table">OFFSET('universities'!$C$39,0,0,COUNTA('universities'!$C$39:$C$308),14)</definedName>
    <definedName name="object" localSheetId="5">'universities and subjects'!$P$1:$P$638</definedName>
    <definedName name="ucasdata">#REF!</definedName>
    <definedName name="val1cell" localSheetId="5">'universities and subjects'!$B$12</definedName>
    <definedName name="vallist" localSheetId="5">'universities and subjects'!$C$60:$C$72</definedName>
  </definedNames>
  <calcPr fullCalcOnLoad="1"/>
  <pivotCaches>
    <pivotCache cacheId="4" r:id="rId10"/>
  </pivotCaches>
</workbook>
</file>

<file path=xl/sharedStrings.xml><?xml version="1.0" encoding="utf-8"?>
<sst xmlns="http://schemas.openxmlformats.org/spreadsheetml/2006/main" count="5356" uniqueCount="1633">
  <si>
    <t>% change</t>
  </si>
  <si>
    <t>extra</t>
  </si>
  <si>
    <t>clearing</t>
  </si>
  <si>
    <t>direct</t>
  </si>
  <si>
    <t>main scheme</t>
  </si>
  <si>
    <t>UCAS</t>
  </si>
  <si>
    <t>institution name</t>
  </si>
  <si>
    <t>nationally</t>
  </si>
  <si>
    <t>subject</t>
  </si>
  <si>
    <t>Group A Medicine &amp; Dentistry</t>
  </si>
  <si>
    <t>Group B Subjects allied to Medicine</t>
  </si>
  <si>
    <t>Group C Biological Sciences</t>
  </si>
  <si>
    <t>Group D Vet Sci,Ag &amp; related</t>
  </si>
  <si>
    <t>Group F Physical Sciences</t>
  </si>
  <si>
    <t>Group G Mathematical &amp; Comp Sci</t>
  </si>
  <si>
    <t>Group H Engineering</t>
  </si>
  <si>
    <t>Group J Technologies</t>
  </si>
  <si>
    <t>Group K Architecture,Build &amp; Plan</t>
  </si>
  <si>
    <t>Group L Social Studies</t>
  </si>
  <si>
    <t>Group M Law</t>
  </si>
  <si>
    <t>Group N Business &amp; Admin studies</t>
  </si>
  <si>
    <t>Group P Mass Comms and Documentation</t>
  </si>
  <si>
    <t>Group Q Linguistics, Classics &amp; related</t>
  </si>
  <si>
    <t>Group R European Langs, Lit &amp; related</t>
  </si>
  <si>
    <t>Group T Non-European Langs and related</t>
  </si>
  <si>
    <t>Group V Hist &amp; Philosophical studies</t>
  </si>
  <si>
    <t>Group W Creative Arts &amp; Design</t>
  </si>
  <si>
    <t>Group X Education</t>
  </si>
  <si>
    <t>Y Combined arts</t>
  </si>
  <si>
    <t>Y Combined sciences</t>
  </si>
  <si>
    <t>Y Combined social sciences</t>
  </si>
  <si>
    <t>Y Sciences combined with social sciences or arts</t>
  </si>
  <si>
    <t>Y Social sciences combined with arts</t>
  </si>
  <si>
    <t>Z General, other combined &amp; unknown</t>
  </si>
  <si>
    <t>North East</t>
  </si>
  <si>
    <t>Yorks &amp; The Humber</t>
  </si>
  <si>
    <t>North West</t>
  </si>
  <si>
    <t>East Midlands</t>
  </si>
  <si>
    <t>West Midlands</t>
  </si>
  <si>
    <t>Eastern</t>
  </si>
  <si>
    <t>Greater London</t>
  </si>
  <si>
    <t>South East</t>
  </si>
  <si>
    <t>South West</t>
  </si>
  <si>
    <t>Wales</t>
  </si>
  <si>
    <t>Northern Ireland</t>
  </si>
  <si>
    <t>Scotland</t>
  </si>
  <si>
    <t>choices</t>
  </si>
  <si>
    <t>accepts</t>
  </si>
  <si>
    <t>A1 - Pre-clinical Medicine</t>
  </si>
  <si>
    <t>B1 - Anatomy,Physiology and Pathology</t>
  </si>
  <si>
    <t>B7 - Nursing</t>
  </si>
  <si>
    <t>C1 - Biology</t>
  </si>
  <si>
    <t>17 and under</t>
  </si>
  <si>
    <t>25 to 39</t>
  </si>
  <si>
    <t>21 to 24</t>
  </si>
  <si>
    <t>40 and over</t>
  </si>
  <si>
    <t>age</t>
  </si>
  <si>
    <t>female</t>
  </si>
  <si>
    <t>male</t>
  </si>
  <si>
    <t>80 to 119</t>
  </si>
  <si>
    <t>0/not known</t>
  </si>
  <si>
    <t>Asian</t>
  </si>
  <si>
    <t>Black</t>
  </si>
  <si>
    <t>Mixed</t>
  </si>
  <si>
    <t>Other</t>
  </si>
  <si>
    <t>Unknown</t>
  </si>
  <si>
    <t>White</t>
  </si>
  <si>
    <t>No disability</t>
  </si>
  <si>
    <t>Disability</t>
  </si>
  <si>
    <t>Total</t>
  </si>
  <si>
    <t>UCAS - accepted route</t>
  </si>
  <si>
    <t>applicants</t>
  </si>
  <si>
    <t>gender</t>
  </si>
  <si>
    <t>ethnicity</t>
  </si>
  <si>
    <t>First name</t>
  </si>
  <si>
    <t>Surname</t>
  </si>
  <si>
    <t>Gender</t>
  </si>
  <si>
    <t>Age</t>
  </si>
  <si>
    <t>Tariff score</t>
  </si>
  <si>
    <t>Ethnicity</t>
  </si>
  <si>
    <t>Postcode</t>
  </si>
  <si>
    <t>HEI name</t>
  </si>
  <si>
    <t>Course code</t>
  </si>
  <si>
    <t>Course title</t>
  </si>
  <si>
    <t>Qualification type</t>
  </si>
  <si>
    <t>Route</t>
  </si>
  <si>
    <t>&lt;= 17</t>
  </si>
  <si>
    <t>21 - 24</t>
  </si>
  <si>
    <t>25 - 39</t>
  </si>
  <si>
    <t>&gt;= 40</t>
  </si>
  <si>
    <t>accepted applicants</t>
  </si>
  <si>
    <t xml:space="preserve">       Years: </t>
  </si>
  <si>
    <t>disability</t>
  </si>
  <si>
    <t>B3 - Complementary Medicine</t>
  </si>
  <si>
    <t>B8 - Medical Technology</t>
  </si>
  <si>
    <t>B9 - Others in Subjects allied to Medicine</t>
  </si>
  <si>
    <t>C5 - Microbiology</t>
  </si>
  <si>
    <t>C7 - Molecular Biology,Biophysics &amp; Biochem</t>
  </si>
  <si>
    <t>C8 - Psychology</t>
  </si>
  <si>
    <t>D1 - Pre-clinical Veterinary Medicine</t>
  </si>
  <si>
    <t>D3 - Animal Science</t>
  </si>
  <si>
    <t>DD - Combinations within Vet Sci,Ag &amp; related subjects</t>
  </si>
  <si>
    <t>F1 - Chemistry</t>
  </si>
  <si>
    <t>F3 - Physics</t>
  </si>
  <si>
    <t>G1 - Mathematics</t>
  </si>
  <si>
    <t>G3 - Statistics</t>
  </si>
  <si>
    <t>H1 - General Engineering</t>
  </si>
  <si>
    <t>H2 - Civil Engineering</t>
  </si>
  <si>
    <t>H3 - Mechanical Engineering</t>
  </si>
  <si>
    <t>H8 - Chemical,Process and Energy Engineering</t>
  </si>
  <si>
    <t>HH - Combinations within Engineering</t>
  </si>
  <si>
    <t>J9 - Others in Technology</t>
  </si>
  <si>
    <t>K1 - Architecture</t>
  </si>
  <si>
    <t>L0 - Social Studies: any area of study</t>
  </si>
  <si>
    <t>L1 - Economics</t>
  </si>
  <si>
    <t>L2 - Politics</t>
  </si>
  <si>
    <t>L5 - Social Work</t>
  </si>
  <si>
    <t>L9 - Others in Social Studies</t>
  </si>
  <si>
    <t>M1 - Law by Area</t>
  </si>
  <si>
    <t>N1 - Business studies</t>
  </si>
  <si>
    <t>N4 - Accounting</t>
  </si>
  <si>
    <t>N5 - Marketing</t>
  </si>
  <si>
    <t>P3 - Media studies</t>
  </si>
  <si>
    <t>Q1 - Linguistics</t>
  </si>
  <si>
    <t>Q3 - English studies</t>
  </si>
  <si>
    <t>QQ - Combinations within Linguistics,Classics &amp; related</t>
  </si>
  <si>
    <t>R4 - Spanish studies</t>
  </si>
  <si>
    <t>T2 - Japanese studies</t>
  </si>
  <si>
    <t>V1 - History by Period</t>
  </si>
  <si>
    <t>V3 - History by Topic</t>
  </si>
  <si>
    <t>V4 - Archaeology</t>
  </si>
  <si>
    <t>W1 - Fine Art</t>
  </si>
  <si>
    <t>W2 - Design studies</t>
  </si>
  <si>
    <t>W3 - Music</t>
  </si>
  <si>
    <t>W4 - Drama</t>
  </si>
  <si>
    <t>X1 - Training Teachers</t>
  </si>
  <si>
    <t>X3 - Academic studies in Education</t>
  </si>
  <si>
    <t>Y Combs of languages</t>
  </si>
  <si>
    <t>Y Combs of languages with arts/humanities</t>
  </si>
  <si>
    <t>Y Combs of med/bio/agric sciences</t>
  </si>
  <si>
    <t>Y Combs of phys/math science with social studies/bus/law</t>
  </si>
  <si>
    <t>Y Combs of science/engineering with arts/humanities/languages</t>
  </si>
  <si>
    <t>Y Combs of science/engineering with social studies/bus/law</t>
  </si>
  <si>
    <t>Y Combs of social studies/bus/law with arts/humanities</t>
  </si>
  <si>
    <t>Y Combs of social studies/bus/law with languages</t>
  </si>
  <si>
    <t>summary</t>
  </si>
  <si>
    <t>characteristics</t>
  </si>
  <si>
    <t>subjects</t>
  </si>
  <si>
    <t>Jenny</t>
  </si>
  <si>
    <t>Smith</t>
  </si>
  <si>
    <t>Edward</t>
  </si>
  <si>
    <t>Jones</t>
  </si>
  <si>
    <t>Daniel</t>
  </si>
  <si>
    <t>Peters</t>
  </si>
  <si>
    <t>Katherine</t>
  </si>
  <si>
    <t>Price</t>
  </si>
  <si>
    <t>Ben</t>
  </si>
  <si>
    <t>McDonald</t>
  </si>
  <si>
    <t>Louise</t>
  </si>
  <si>
    <t>Evans</t>
  </si>
  <si>
    <t>Christopher</t>
  </si>
  <si>
    <t>Harding</t>
  </si>
  <si>
    <t>Which subjects are my students accepted at?</t>
  </si>
  <si>
    <t>% total accepts</t>
  </si>
  <si>
    <t>A2 - Pre-clinical Dentistry</t>
  </si>
  <si>
    <t>A9 - Others in Medicine and Dentistry</t>
  </si>
  <si>
    <t>B2 - Pharmacology,Toxicology and Pharmacy</t>
  </si>
  <si>
    <t>B4 - Nutrition</t>
  </si>
  <si>
    <t>B5 - Ophthalmics</t>
  </si>
  <si>
    <t>B6 - Aural and Oral Sciences</t>
  </si>
  <si>
    <t>BB - Combinations within Subjects allied to Medicine</t>
  </si>
  <si>
    <t>C2 - Botany</t>
  </si>
  <si>
    <t>C3 - Zoology</t>
  </si>
  <si>
    <t>C4 - Genetics</t>
  </si>
  <si>
    <t>C9 - Others in Biological Sciences</t>
  </si>
  <si>
    <t>CC - Combinations within Biological Sciences</t>
  </si>
  <si>
    <t>D4 - Agriculture</t>
  </si>
  <si>
    <t>D6 - Food and Beverage studies</t>
  </si>
  <si>
    <t>D7 - Agricultural Sciences</t>
  </si>
  <si>
    <t>D9 - Others in Vet Sci,Ag &amp; related subjects</t>
  </si>
  <si>
    <t>F2 - Materials Science</t>
  </si>
  <si>
    <t>F4 - Forensic and Archaeological Science</t>
  </si>
  <si>
    <t>F5 - Astronomy</t>
  </si>
  <si>
    <t>F6 - Geology</t>
  </si>
  <si>
    <t>F9 - Others in Physical Sciences</t>
  </si>
  <si>
    <t>FF - Combinations within Physical Sciences</t>
  </si>
  <si>
    <t>G2 - Operational Research</t>
  </si>
  <si>
    <t>H0 - Engineering: any area of study</t>
  </si>
  <si>
    <t>H4 - Aerospace Engineering</t>
  </si>
  <si>
    <t>H5 - Naval Architecture</t>
  </si>
  <si>
    <t>H6 - Electronic and Electrical Engineering</t>
  </si>
  <si>
    <t>H7 - Production and Manufacturing Engineering</t>
  </si>
  <si>
    <t>H9 - Others in Engineering</t>
  </si>
  <si>
    <t>J1 - Minerals Technology</t>
  </si>
  <si>
    <t>J2 - Metallurgy</t>
  </si>
  <si>
    <t>J4 - Polymers and Textiles</t>
  </si>
  <si>
    <t>J5 - Materials Technology not otherwise spec</t>
  </si>
  <si>
    <t>J6 - Maritime Technology</t>
  </si>
  <si>
    <t>J7 - Biotechnology</t>
  </si>
  <si>
    <t>JJ - Combinations within Technology</t>
  </si>
  <si>
    <t>K2 - Building</t>
  </si>
  <si>
    <t>K4 - Planning (Urban,Rural and Regional)</t>
  </si>
  <si>
    <t>K9 - Others in Architecture,Build &amp; Plan</t>
  </si>
  <si>
    <t>KK - Combinations within Architecture,Build &amp; Plan</t>
  </si>
  <si>
    <t>L3 - Sociology</t>
  </si>
  <si>
    <t>L4 - Social Policy</t>
  </si>
  <si>
    <t>L6 - Anthropology</t>
  </si>
  <si>
    <t>L7 - Human and Social Geography</t>
  </si>
  <si>
    <t>LL - Combinations within Social Studies</t>
  </si>
  <si>
    <t>M2 - Law by Topic</t>
  </si>
  <si>
    <t>M9 - Others in Law</t>
  </si>
  <si>
    <t>MM - Combinations within Law</t>
  </si>
  <si>
    <t>N2 - Management studies</t>
  </si>
  <si>
    <t>N3 - Finance</t>
  </si>
  <si>
    <t>N6 - Human Resource Management</t>
  </si>
  <si>
    <t>N7 - Office Skills</t>
  </si>
  <si>
    <t>N9 - Others in Business &amp; Admin Studies</t>
  </si>
  <si>
    <t>NN - Combinations within Business &amp; Admin Studies</t>
  </si>
  <si>
    <t>P1 - Information Services</t>
  </si>
  <si>
    <t>P2 - Publicity studies</t>
  </si>
  <si>
    <t>P4 - Publishing</t>
  </si>
  <si>
    <t>P5 - Journalism</t>
  </si>
  <si>
    <t>P9 - Others in Mass Comms &amp; Documentation</t>
  </si>
  <si>
    <t>PP - Combinations within Mass Comms &amp; Documentation</t>
  </si>
  <si>
    <t>Q2 - Comparative Literary studies</t>
  </si>
  <si>
    <t>Q4 - Ancient Language studies</t>
  </si>
  <si>
    <t>Q5 - Celtic studies</t>
  </si>
  <si>
    <t>Q6 - Latin studies</t>
  </si>
  <si>
    <t>Q7 - Classical Greek studies</t>
  </si>
  <si>
    <t>Q8 - Classical studies</t>
  </si>
  <si>
    <t>Q9 - Others in Linguistics,Classics &amp; related</t>
  </si>
  <si>
    <t>R1 - French studies</t>
  </si>
  <si>
    <t>R2 - German studies</t>
  </si>
  <si>
    <t>R3 - Italian studies</t>
  </si>
  <si>
    <t>R5 - Portuguese studies</t>
  </si>
  <si>
    <t>R6 - Scandinavian studies</t>
  </si>
  <si>
    <t>R7 - Russian and East European studies</t>
  </si>
  <si>
    <t>R8 - European studies</t>
  </si>
  <si>
    <t>R9 - Others in European Langs,Lit and related</t>
  </si>
  <si>
    <t>RR - Combinations within European Langs,Lit and related</t>
  </si>
  <si>
    <t>T1 - Chinese studies</t>
  </si>
  <si>
    <t>T3 - South Asian studies</t>
  </si>
  <si>
    <t>T4 - Other Asian studies</t>
  </si>
  <si>
    <t>T5 - African studies</t>
  </si>
  <si>
    <t>T7 - American studies</t>
  </si>
  <si>
    <t>TT - Combinations within non-European Langs &amp; related</t>
  </si>
  <si>
    <t>V2 - History by Area</t>
  </si>
  <si>
    <t>V5 - Philosophy</t>
  </si>
  <si>
    <t>V6 - Theology and Religious studies</t>
  </si>
  <si>
    <t>V9 - Others in Hist &amp; Philosophical studies</t>
  </si>
  <si>
    <t>VV - Combinations within Hist &amp; Philosophical studies</t>
  </si>
  <si>
    <t>W5 - Dance</t>
  </si>
  <si>
    <t>W6 - Cinematics and Photography</t>
  </si>
  <si>
    <t>W7 - Crafts</t>
  </si>
  <si>
    <t>W8 - Imaginative Writing</t>
  </si>
  <si>
    <t>W9 - Others in Creative Arts and Design</t>
  </si>
  <si>
    <t>WW - Combinations within Creative Arts and Design</t>
  </si>
  <si>
    <t>X2 - Research and Study Skills in Education</t>
  </si>
  <si>
    <t>X9 - Others in Education</t>
  </si>
  <si>
    <t>XX - Combinations within Education</t>
  </si>
  <si>
    <t>Y Combs of arts/humanities</t>
  </si>
  <si>
    <t>Y Combs of sciences with engineering/technology</t>
  </si>
  <si>
    <t>Y Combs of engineering/technology</t>
  </si>
  <si>
    <t>Y Combs of engin/tech/building studies</t>
  </si>
  <si>
    <t>Y Combs of phys/math science with arts/humanities/languages</t>
  </si>
  <si>
    <t>Z Combs of 3 subjects, or other general courses</t>
  </si>
  <si>
    <t>Y Combs of soc studies/law with business</t>
  </si>
  <si>
    <t>Y Combs of soc studies/law</t>
  </si>
  <si>
    <t>instorder</t>
  </si>
  <si>
    <t>regionorder</t>
  </si>
  <si>
    <t>Which subject groups are my students accepted at?</t>
  </si>
  <si>
    <t>JACS2 subject group</t>
  </si>
  <si>
    <t>JACS2 subject line</t>
  </si>
  <si>
    <t>appno</t>
  </si>
  <si>
    <t>PLEASE NOTE THIS CONTAINS SAMPLE DATA</t>
  </si>
  <si>
    <t xml:space="preserve">       Centre name:</t>
  </si>
  <si>
    <t xml:space="preserve">       Centre code:</t>
  </si>
  <si>
    <t>Click on the cells to view definitions</t>
  </si>
  <si>
    <t>adjustment</t>
  </si>
  <si>
    <t>Click on the column titles to view definitions</t>
  </si>
  <si>
    <t>Overall count</t>
  </si>
  <si>
    <t>Choices count</t>
  </si>
  <si>
    <t>Accepted count</t>
  </si>
  <si>
    <t>(All)</t>
  </si>
  <si>
    <t>Data</t>
  </si>
  <si>
    <t>Sum of Overall count</t>
  </si>
  <si>
    <t>Sum of Choices count</t>
  </si>
  <si>
    <t>Sum of Accepted count</t>
  </si>
  <si>
    <t>Grand Total</t>
  </si>
  <si>
    <t>see how many of your students applied and were accepted</t>
  </si>
  <si>
    <t>percentage of applicants accepted</t>
  </si>
  <si>
    <t>% accepted</t>
  </si>
  <si>
    <t>see which subjects your students applied to and the number of acceptances</t>
  </si>
  <si>
    <t>1 to 39</t>
  </si>
  <si>
    <t>40 to 79</t>
  </si>
  <si>
    <t>120 to 159</t>
  </si>
  <si>
    <t>160 to 199</t>
  </si>
  <si>
    <t>200 to 239</t>
  </si>
  <si>
    <t>240 to 279</t>
  </si>
  <si>
    <t>280 to 319</t>
  </si>
  <si>
    <t>320 to 359</t>
  </si>
  <si>
    <t>360 to 399</t>
  </si>
  <si>
    <t>400 to 439</t>
  </si>
  <si>
    <t>440 to 479</t>
  </si>
  <si>
    <t>480 to 519</t>
  </si>
  <si>
    <t>520 to 559</t>
  </si>
  <si>
    <t>560 to 599</t>
  </si>
  <si>
    <t>600 to 639</t>
  </si>
  <si>
    <t>640 to 679</t>
  </si>
  <si>
    <t>680 to 719</t>
  </si>
  <si>
    <t>720 to 759</t>
  </si>
  <si>
    <t>760 to 799</t>
  </si>
  <si>
    <t>800 plus</t>
  </si>
  <si>
    <t>1994 Group</t>
  </si>
  <si>
    <t>Russell Group</t>
  </si>
  <si>
    <t>University Alliance</t>
  </si>
  <si>
    <t>B16</t>
  </si>
  <si>
    <t>University of Bath</t>
  </si>
  <si>
    <t>A30</t>
  </si>
  <si>
    <t>University of Abertay Dundee</t>
  </si>
  <si>
    <t>B24</t>
  </si>
  <si>
    <t>A60</t>
  </si>
  <si>
    <t>Anglia Ruskin University</t>
  </si>
  <si>
    <t>B20</t>
  </si>
  <si>
    <t>Bath Spa University</t>
  </si>
  <si>
    <t>B22</t>
  </si>
  <si>
    <t>B25</t>
  </si>
  <si>
    <t>B44</t>
  </si>
  <si>
    <t>University of Bolton</t>
  </si>
  <si>
    <t>B94</t>
  </si>
  <si>
    <t>Buckinghamshire New University</t>
  </si>
  <si>
    <t>B32</t>
  </si>
  <si>
    <t>A40</t>
  </si>
  <si>
    <t xml:space="preserve">Aberystwyth University </t>
  </si>
  <si>
    <t>B78</t>
  </si>
  <si>
    <t>University of Bristol</t>
  </si>
  <si>
    <t>B50</t>
  </si>
  <si>
    <t>Bournemouth University</t>
  </si>
  <si>
    <t>B56</t>
  </si>
  <si>
    <t>B80</t>
  </si>
  <si>
    <t xml:space="preserve">Northumbria University </t>
  </si>
  <si>
    <t>accepted HEI name</t>
  </si>
  <si>
    <t>accepted JACS2 subject group</t>
  </si>
  <si>
    <t>accepted JACS2 subject line</t>
  </si>
  <si>
    <t>accepted course code</t>
  </si>
  <si>
    <t>accepted course title</t>
  </si>
  <si>
    <t>accepted qualification type</t>
  </si>
  <si>
    <t>accepted route</t>
  </si>
  <si>
    <t>Applicant count</t>
  </si>
  <si>
    <t>tariff</t>
  </si>
  <si>
    <t xml:space="preserve">A20 The University of Aberdeen </t>
  </si>
  <si>
    <t xml:space="preserve">A40 Aberystwyth University </t>
  </si>
  <si>
    <t xml:space="preserve">A60 Anglia Ruskin University </t>
  </si>
  <si>
    <t xml:space="preserve">A80 Aston University, Birmingham </t>
  </si>
  <si>
    <t xml:space="preserve">B20 Bath Spa University </t>
  </si>
  <si>
    <t xml:space="preserve">B32 The University of Birmingham </t>
  </si>
  <si>
    <t xml:space="preserve">B50 Bournemouth University </t>
  </si>
  <si>
    <t xml:space="preserve">B56 The University of Bradford </t>
  </si>
  <si>
    <t xml:space="preserve">B72 University of Brighton </t>
  </si>
  <si>
    <t xml:space="preserve">B78 University of Bristol </t>
  </si>
  <si>
    <t xml:space="preserve">B80 University of the West of England, Bristol </t>
  </si>
  <si>
    <t xml:space="preserve">B84 Brunel University </t>
  </si>
  <si>
    <t xml:space="preserve">C05 University of Cambridge </t>
  </si>
  <si>
    <t xml:space="preserve">C10 Canterbury Christ Church University </t>
  </si>
  <si>
    <t xml:space="preserve">C15 Cardiff University </t>
  </si>
  <si>
    <t xml:space="preserve">C58 University of Chichester </t>
  </si>
  <si>
    <t xml:space="preserve">C93 University for the Creative Arts (Formerly University College for the Creative Arts) </t>
  </si>
  <si>
    <t xml:space="preserve">D26 De Montfort University </t>
  </si>
  <si>
    <t xml:space="preserve">D65 University of Dundee </t>
  </si>
  <si>
    <t xml:space="preserve">D86 Durham University </t>
  </si>
  <si>
    <t xml:space="preserve">E14 University of East Anglia </t>
  </si>
  <si>
    <t xml:space="preserve">E56 The University of Edinburgh </t>
  </si>
  <si>
    <t xml:space="preserve">E59 Edinburgh Napier University </t>
  </si>
  <si>
    <t xml:space="preserve">E70 The University of Essex </t>
  </si>
  <si>
    <t xml:space="preserve">E84 University of Exeter </t>
  </si>
  <si>
    <t xml:space="preserve">F33 University College Falmouth </t>
  </si>
  <si>
    <t xml:space="preserve">G28 University of Glasgow </t>
  </si>
  <si>
    <t xml:space="preserve">G50 The University of Gloucestershire </t>
  </si>
  <si>
    <t xml:space="preserve">G70 University of Greenwich </t>
  </si>
  <si>
    <t xml:space="preserve">I50 Imperial College London </t>
  </si>
  <si>
    <t xml:space="preserve">K24 The University of Kent </t>
  </si>
  <si>
    <t xml:space="preserve">K60 King's College London (University of London) </t>
  </si>
  <si>
    <t xml:space="preserve">K84 Kingston University </t>
  </si>
  <si>
    <t xml:space="preserve">L14 Lancaster University </t>
  </si>
  <si>
    <t xml:space="preserve">L23 University of Leeds </t>
  </si>
  <si>
    <t xml:space="preserve">L27 Leeds Metropolitan University </t>
  </si>
  <si>
    <t xml:space="preserve">L34 University of Leicester </t>
  </si>
  <si>
    <t xml:space="preserve">L41 The University of Liverpool </t>
  </si>
  <si>
    <t xml:space="preserve">L75 London South Bank University </t>
  </si>
  <si>
    <t xml:space="preserve">L79 Loughborough University </t>
  </si>
  <si>
    <t xml:space="preserve">M20 The University of Manchester </t>
  </si>
  <si>
    <t xml:space="preserve">M40 The Manchester Metropolitan University </t>
  </si>
  <si>
    <t xml:space="preserve">N21 Newcastle University </t>
  </si>
  <si>
    <t xml:space="preserve">N77 Northumbria University </t>
  </si>
  <si>
    <t xml:space="preserve">N84 The University of Nottingham </t>
  </si>
  <si>
    <t xml:space="preserve">N91 Nottingham Trent University </t>
  </si>
  <si>
    <t xml:space="preserve">O33 Oxford University </t>
  </si>
  <si>
    <t xml:space="preserve">O66 Oxford Brookes University </t>
  </si>
  <si>
    <t xml:space="preserve">P80 University of Portsmouth </t>
  </si>
  <si>
    <t xml:space="preserve">R12 The University of Reading </t>
  </si>
  <si>
    <t xml:space="preserve">R72 Royal Holloway, University of London </t>
  </si>
  <si>
    <t xml:space="preserve">S18 The University of Sheffield </t>
  </si>
  <si>
    <t xml:space="preserve">S21 Sheffield Hallam University </t>
  </si>
  <si>
    <t xml:space="preserve">S27 University of Southampton </t>
  </si>
  <si>
    <t xml:space="preserve">S36 University of St Andrews </t>
  </si>
  <si>
    <t xml:space="preserve">S75 The University of Stirling </t>
  </si>
  <si>
    <t xml:space="preserve">S85 University of Surrey </t>
  </si>
  <si>
    <t xml:space="preserve">S90 University of Sussex </t>
  </si>
  <si>
    <t xml:space="preserve">S93 Swansea University </t>
  </si>
  <si>
    <t xml:space="preserve">U80 University College London (University of London) </t>
  </si>
  <si>
    <t xml:space="preserve">W20 The University of Warwick </t>
  </si>
  <si>
    <t xml:space="preserve">Y50 The University of York </t>
  </si>
  <si>
    <t>order</t>
  </si>
  <si>
    <t>School</t>
  </si>
  <si>
    <t xml:space="preserve">Female </t>
  </si>
  <si>
    <t xml:space="preserve">White </t>
  </si>
  <si>
    <t xml:space="preserve">A - No disability </t>
  </si>
  <si>
    <t xml:space="preserve">S18 </t>
  </si>
  <si>
    <t xml:space="preserve">The University of Sheffield </t>
  </si>
  <si>
    <t xml:space="preserve">Yorks &amp; The Humber </t>
  </si>
  <si>
    <t xml:space="preserve">Y Combined arts </t>
  </si>
  <si>
    <t xml:space="preserve">Y Combs of languages with arts/humanities </t>
  </si>
  <si>
    <t xml:space="preserve">RV71 </t>
  </si>
  <si>
    <t xml:space="preserve">History and Russian </t>
  </si>
  <si>
    <t xml:space="preserve">Degree </t>
  </si>
  <si>
    <t xml:space="preserve">Route A </t>
  </si>
  <si>
    <t xml:space="preserve">B32 </t>
  </si>
  <si>
    <t xml:space="preserve">The University of Birmingham </t>
  </si>
  <si>
    <t xml:space="preserve">West Midlands </t>
  </si>
  <si>
    <t xml:space="preserve">History and Russian Studies (4 years) </t>
  </si>
  <si>
    <t xml:space="preserve">N84 </t>
  </si>
  <si>
    <t xml:space="preserve">The University of Nottingham </t>
  </si>
  <si>
    <t xml:space="preserve">East Midlands </t>
  </si>
  <si>
    <t xml:space="preserve">VRC7 </t>
  </si>
  <si>
    <t xml:space="preserve">History and Russian (Beginners) </t>
  </si>
  <si>
    <t xml:space="preserve">L23 </t>
  </si>
  <si>
    <t xml:space="preserve">University of Leeds </t>
  </si>
  <si>
    <t xml:space="preserve">RVT1 </t>
  </si>
  <si>
    <t xml:space="preserve">History and Russian B </t>
  </si>
  <si>
    <t xml:space="preserve">M20 </t>
  </si>
  <si>
    <t xml:space="preserve">The University of Manchester </t>
  </si>
  <si>
    <t xml:space="preserve">North West </t>
  </si>
  <si>
    <t xml:space="preserve">Male </t>
  </si>
  <si>
    <t xml:space="preserve">Asian </t>
  </si>
  <si>
    <t xml:space="preserve">L34 </t>
  </si>
  <si>
    <t xml:space="preserve">University of Leicester </t>
  </si>
  <si>
    <t xml:space="preserve">Y Combined social sciences </t>
  </si>
  <si>
    <t xml:space="preserve">Y Combs of soc studies/law with business </t>
  </si>
  <si>
    <t xml:space="preserve">NL31 </t>
  </si>
  <si>
    <t xml:space="preserve">Banking and Finance </t>
  </si>
  <si>
    <t xml:space="preserve">A80 </t>
  </si>
  <si>
    <t xml:space="preserve">Aston University, Birmingham </t>
  </si>
  <si>
    <t xml:space="preserve">Group N Business &amp; Admin studies </t>
  </si>
  <si>
    <t xml:space="preserve">N3 - Finance </t>
  </si>
  <si>
    <t xml:space="preserve">N300 </t>
  </si>
  <si>
    <t xml:space="preserve">Finance </t>
  </si>
  <si>
    <t xml:space="preserve">N91 </t>
  </si>
  <si>
    <t xml:space="preserve">Nottingham Trent University </t>
  </si>
  <si>
    <t xml:space="preserve">N1 - Business studies </t>
  </si>
  <si>
    <t xml:space="preserve">N100 </t>
  </si>
  <si>
    <t xml:space="preserve">Business </t>
  </si>
  <si>
    <t xml:space="preserve">C85 </t>
  </si>
  <si>
    <t xml:space="preserve">Coventry University </t>
  </si>
  <si>
    <t xml:space="preserve">N341 </t>
  </si>
  <si>
    <t xml:space="preserve">Finance and Investment </t>
  </si>
  <si>
    <t xml:space="preserve">D26 </t>
  </si>
  <si>
    <t xml:space="preserve">De Montfort University </t>
  </si>
  <si>
    <t xml:space="preserve">N4 - Accounting </t>
  </si>
  <si>
    <t xml:space="preserve">N420 </t>
  </si>
  <si>
    <t xml:space="preserve">Accounting and Finance </t>
  </si>
  <si>
    <t xml:space="preserve">Group G Mathematical &amp; Comp Sci </t>
  </si>
  <si>
    <t xml:space="preserve">G4 - Computer Science </t>
  </si>
  <si>
    <t xml:space="preserve">G460 </t>
  </si>
  <si>
    <t xml:space="preserve">Computing for Business </t>
  </si>
  <si>
    <t xml:space="preserve">Clearing </t>
  </si>
  <si>
    <t xml:space="preserve">Mixed </t>
  </si>
  <si>
    <t xml:space="preserve">Group C Biological Sciences </t>
  </si>
  <si>
    <t xml:space="preserve">C7 - Molecular Biology,Biophysics &amp; Biochem </t>
  </si>
  <si>
    <t xml:space="preserve">C700 </t>
  </si>
  <si>
    <t xml:space="preserve">Biochemistry </t>
  </si>
  <si>
    <t xml:space="preserve">I50 </t>
  </si>
  <si>
    <t xml:space="preserve">Imperial College London </t>
  </si>
  <si>
    <t xml:space="preserve">Greater London </t>
  </si>
  <si>
    <t xml:space="preserve">B78 </t>
  </si>
  <si>
    <t xml:space="preserve">University of Bristol </t>
  </si>
  <si>
    <t xml:space="preserve">South West </t>
  </si>
  <si>
    <t xml:space="preserve">K60 </t>
  </si>
  <si>
    <t xml:space="preserve">King's College London (University of London) </t>
  </si>
  <si>
    <t xml:space="preserve">Biochemistry (3 years or 4-year sandwich) </t>
  </si>
  <si>
    <t xml:space="preserve">U80 </t>
  </si>
  <si>
    <t xml:space="preserve">University College London (University of London) </t>
  </si>
  <si>
    <t xml:space="preserve">K24 </t>
  </si>
  <si>
    <t xml:space="preserve">The University of Kent </t>
  </si>
  <si>
    <t xml:space="preserve">South East </t>
  </si>
  <si>
    <t xml:space="preserve">E70 </t>
  </si>
  <si>
    <t xml:space="preserve">The University of Essex </t>
  </si>
  <si>
    <t xml:space="preserve">Eastern </t>
  </si>
  <si>
    <t xml:space="preserve">Group L Social Studies </t>
  </si>
  <si>
    <t xml:space="preserve">L9 - Others in Social Studies </t>
  </si>
  <si>
    <t xml:space="preserve">L0V0 </t>
  </si>
  <si>
    <t xml:space="preserve">Philosophy, Politics and Economics </t>
  </si>
  <si>
    <t xml:space="preserve">L14 </t>
  </si>
  <si>
    <t xml:space="preserve">Lancaster University </t>
  </si>
  <si>
    <t xml:space="preserve">S75 </t>
  </si>
  <si>
    <t xml:space="preserve">The University of Stirling </t>
  </si>
  <si>
    <t xml:space="preserve">Scotland </t>
  </si>
  <si>
    <t xml:space="preserve">L0 - Social Studies: any area of study </t>
  </si>
  <si>
    <t xml:space="preserve">Politics, Philosophy and Economics </t>
  </si>
  <si>
    <t xml:space="preserve">S93 </t>
  </si>
  <si>
    <t xml:space="preserve">Swansea University </t>
  </si>
  <si>
    <t xml:space="preserve">Wales </t>
  </si>
  <si>
    <t xml:space="preserve">LL - Combinations within Social Studies </t>
  </si>
  <si>
    <t xml:space="preserve">LL12 </t>
  </si>
  <si>
    <t xml:space="preserve">Economics and Politics </t>
  </si>
  <si>
    <t xml:space="preserve">E14 </t>
  </si>
  <si>
    <t xml:space="preserve">University of East Anglia </t>
  </si>
  <si>
    <t xml:space="preserve">B20 </t>
  </si>
  <si>
    <t xml:space="preserve">Bath Spa University </t>
  </si>
  <si>
    <t xml:space="preserve">CC - Combinations within Biological Sciences </t>
  </si>
  <si>
    <t xml:space="preserve">CC18 </t>
  </si>
  <si>
    <t xml:space="preserve">Biology/Psychology </t>
  </si>
  <si>
    <t xml:space="preserve">C10 </t>
  </si>
  <si>
    <t xml:space="preserve">Canterbury Christ Church University </t>
  </si>
  <si>
    <t xml:space="preserve">C8 - Psychology </t>
  </si>
  <si>
    <t xml:space="preserve">C8B9 </t>
  </si>
  <si>
    <t xml:space="preserve">Psychology with Health Studies </t>
  </si>
  <si>
    <t xml:space="preserve">W80 </t>
  </si>
  <si>
    <t xml:space="preserve">University of Worcester </t>
  </si>
  <si>
    <t xml:space="preserve">CCC8 </t>
  </si>
  <si>
    <t xml:space="preserve">Human Biology and Psychology </t>
  </si>
  <si>
    <t xml:space="preserve">K12 </t>
  </si>
  <si>
    <t xml:space="preserve">Keele University </t>
  </si>
  <si>
    <t xml:space="preserve">CC1V </t>
  </si>
  <si>
    <t xml:space="preserve">C58 </t>
  </si>
  <si>
    <t xml:space="preserve">University of Chichester </t>
  </si>
  <si>
    <t xml:space="preserve">C800 </t>
  </si>
  <si>
    <t xml:space="preserve">Psychology </t>
  </si>
  <si>
    <t xml:space="preserve">N77 </t>
  </si>
  <si>
    <t xml:space="preserve">North East </t>
  </si>
  <si>
    <t xml:space="preserve">N400 </t>
  </si>
  <si>
    <t xml:space="preserve">Accounting </t>
  </si>
  <si>
    <t xml:space="preserve">NN - Combinations within Business &amp; Admin Studies </t>
  </si>
  <si>
    <t xml:space="preserve">NN43 </t>
  </si>
  <si>
    <t xml:space="preserve">Accounting &amp; Finance </t>
  </si>
  <si>
    <t xml:space="preserve">D86 </t>
  </si>
  <si>
    <t xml:space="preserve">Durham University </t>
  </si>
  <si>
    <t xml:space="preserve">L27 </t>
  </si>
  <si>
    <t xml:space="preserve">Leeds Metropolitan University </t>
  </si>
  <si>
    <t xml:space="preserve">Accounting &amp; Financial Management </t>
  </si>
  <si>
    <t xml:space="preserve">Group H Engineering </t>
  </si>
  <si>
    <t xml:space="preserve">H3 - Mechanical Engineering </t>
  </si>
  <si>
    <t xml:space="preserve">H300 </t>
  </si>
  <si>
    <t xml:space="preserve">Mechanical Engineering </t>
  </si>
  <si>
    <t xml:space="preserve">C05 </t>
  </si>
  <si>
    <t xml:space="preserve">University of Cambridge </t>
  </si>
  <si>
    <t xml:space="preserve">H1 - General Engineering </t>
  </si>
  <si>
    <t xml:space="preserve">H100 </t>
  </si>
  <si>
    <t xml:space="preserve">Engineering (4 years) </t>
  </si>
  <si>
    <t xml:space="preserve">S27 </t>
  </si>
  <si>
    <t xml:space="preserve">University of Southampton </t>
  </si>
  <si>
    <t xml:space="preserve">H301 </t>
  </si>
  <si>
    <t xml:space="preserve">Mechanical Engineering (4 years) </t>
  </si>
  <si>
    <t xml:space="preserve">E56 </t>
  </si>
  <si>
    <t xml:space="preserve">The University of Edinburgh </t>
  </si>
  <si>
    <t xml:space="preserve">Engineering </t>
  </si>
  <si>
    <t xml:space="preserve">M40 </t>
  </si>
  <si>
    <t xml:space="preserve">The Manchester Metropolitan University </t>
  </si>
  <si>
    <t xml:space="preserve">Y Social sciences combined with arts </t>
  </si>
  <si>
    <t xml:space="preserve">Y Combs of social studies/bus/law with arts/humanities </t>
  </si>
  <si>
    <t xml:space="preserve">XL33 </t>
  </si>
  <si>
    <t xml:space="preserve">Education Studies/Sociology </t>
  </si>
  <si>
    <t xml:space="preserve">S72 </t>
  </si>
  <si>
    <t xml:space="preserve">Staffordshire University </t>
  </si>
  <si>
    <t xml:space="preserve">L3 - Sociology </t>
  </si>
  <si>
    <t xml:space="preserve">L300 </t>
  </si>
  <si>
    <t xml:space="preserve">Sociology </t>
  </si>
  <si>
    <t xml:space="preserve">W20 </t>
  </si>
  <si>
    <t xml:space="preserve">The University of Warwick </t>
  </si>
  <si>
    <t xml:space="preserve">LX33 </t>
  </si>
  <si>
    <t xml:space="preserve">Educational Studies and Sociology </t>
  </si>
  <si>
    <t xml:space="preserve">D39 </t>
  </si>
  <si>
    <t xml:space="preserve">University of Derby </t>
  </si>
  <si>
    <t xml:space="preserve">N23 </t>
  </si>
  <si>
    <t xml:space="preserve">Newcastle College </t>
  </si>
  <si>
    <t xml:space="preserve">G400 </t>
  </si>
  <si>
    <t xml:space="preserve">Computing </t>
  </si>
  <si>
    <t xml:space="preserve">Foundation Degree </t>
  </si>
  <si>
    <t xml:space="preserve">Group A Medicine &amp; Dentistry </t>
  </si>
  <si>
    <t xml:space="preserve">A1 - Pre-clinical Medicine </t>
  </si>
  <si>
    <t xml:space="preserve">A100 </t>
  </si>
  <si>
    <t xml:space="preserve">Medicine (5 years) </t>
  </si>
  <si>
    <t xml:space="preserve">Group B Subjects allied to Medicine </t>
  </si>
  <si>
    <t xml:space="preserve">B9 - Others in Subjects allied to Medicine </t>
  </si>
  <si>
    <t xml:space="preserve">B900 </t>
  </si>
  <si>
    <t xml:space="preserve">Biomedical Science </t>
  </si>
  <si>
    <t xml:space="preserve">Medicine </t>
  </si>
  <si>
    <t xml:space="preserve">O33 </t>
  </si>
  <si>
    <t xml:space="preserve">Oxford University </t>
  </si>
  <si>
    <t xml:space="preserve">Medicine - MBChB Standard entry (5 years) </t>
  </si>
  <si>
    <t xml:space="preserve">G401 </t>
  </si>
  <si>
    <t xml:space="preserve">Computer Science </t>
  </si>
  <si>
    <t xml:space="preserve">B50 </t>
  </si>
  <si>
    <t xml:space="preserve">Bournemouth University </t>
  </si>
  <si>
    <t xml:space="preserve">G6 - Software Engineering </t>
  </si>
  <si>
    <t xml:space="preserve">G610 </t>
  </si>
  <si>
    <t xml:space="preserve">P80 </t>
  </si>
  <si>
    <t xml:space="preserve">University of Portsmouth </t>
  </si>
  <si>
    <t xml:space="preserve">R72 </t>
  </si>
  <si>
    <t xml:space="preserve">Royal Holloway, University of London </t>
  </si>
  <si>
    <t xml:space="preserve">G402 </t>
  </si>
  <si>
    <t xml:space="preserve">Computer Science (Year in Industry) </t>
  </si>
  <si>
    <t xml:space="preserve">HH - Combinations within Engineering </t>
  </si>
  <si>
    <t xml:space="preserve">HHH6 </t>
  </si>
  <si>
    <t xml:space="preserve">Medical Engineering </t>
  </si>
  <si>
    <t xml:space="preserve">B56 </t>
  </si>
  <si>
    <t xml:space="preserve">The University of Bradford </t>
  </si>
  <si>
    <t xml:space="preserve">Y Combined sciences </t>
  </si>
  <si>
    <t xml:space="preserve">Y Combs of sciences with engineering/technology </t>
  </si>
  <si>
    <t xml:space="preserve">HB11 </t>
  </si>
  <si>
    <t xml:space="preserve">H6 - Electronic and Electrical Engineering </t>
  </si>
  <si>
    <t xml:space="preserve">H673 </t>
  </si>
  <si>
    <t xml:space="preserve">Bioengineering </t>
  </si>
  <si>
    <t xml:space="preserve">C60 </t>
  </si>
  <si>
    <t xml:space="preserve">City University </t>
  </si>
  <si>
    <t xml:space="preserve">BHV1 </t>
  </si>
  <si>
    <t xml:space="preserve">Biomedical Engineering </t>
  </si>
  <si>
    <t xml:space="preserve">C15 </t>
  </si>
  <si>
    <t xml:space="preserve">Cardiff University </t>
  </si>
  <si>
    <t xml:space="preserve">BH99 </t>
  </si>
  <si>
    <t xml:space="preserve">HB18 </t>
  </si>
  <si>
    <t xml:space="preserve">Group J Technologies </t>
  </si>
  <si>
    <t xml:space="preserve">J9 - Others in Technology </t>
  </si>
  <si>
    <t xml:space="preserve">J931 </t>
  </si>
  <si>
    <t xml:space="preserve">Music Technology </t>
  </si>
  <si>
    <t xml:space="preserve">B25 </t>
  </si>
  <si>
    <t xml:space="preserve">Birmingham City University </t>
  </si>
  <si>
    <t xml:space="preserve">Group W Creative Arts &amp; Design </t>
  </si>
  <si>
    <t xml:space="preserve">W3 - Music </t>
  </si>
  <si>
    <t xml:space="preserve">W350 </t>
  </si>
  <si>
    <t xml:space="preserve">Y Sciences combined with social sciences or arts </t>
  </si>
  <si>
    <t xml:space="preserve">Y Combs of science/engineering with arts/humanities/languages </t>
  </si>
  <si>
    <t xml:space="preserve">JW9H </t>
  </si>
  <si>
    <t xml:space="preserve">B80 </t>
  </si>
  <si>
    <t xml:space="preserve">University of the West of England, Bristol </t>
  </si>
  <si>
    <t xml:space="preserve">J932 </t>
  </si>
  <si>
    <t xml:space="preserve">Audio and Music Technology </t>
  </si>
  <si>
    <t xml:space="preserve">C30 </t>
  </si>
  <si>
    <t xml:space="preserve">University of Central Lancashire </t>
  </si>
  <si>
    <t xml:space="preserve">Studio and Live Music Production </t>
  </si>
  <si>
    <t xml:space="preserve">C1 - Biology </t>
  </si>
  <si>
    <t xml:space="preserve">C100 </t>
  </si>
  <si>
    <t xml:space="preserve">Biology </t>
  </si>
  <si>
    <t xml:space="preserve">E84 </t>
  </si>
  <si>
    <t xml:space="preserve">University of Exeter </t>
  </si>
  <si>
    <t xml:space="preserve">Biological Sciences </t>
  </si>
  <si>
    <t xml:space="preserve">B4 - Nutrition </t>
  </si>
  <si>
    <t xml:space="preserve">B4D6 </t>
  </si>
  <si>
    <t xml:space="preserve">Nutrition and Food Science </t>
  </si>
  <si>
    <t xml:space="preserve">S85 </t>
  </si>
  <si>
    <t xml:space="preserve">University of Surrey </t>
  </si>
  <si>
    <t xml:space="preserve">Y Combs of med/bio/agric sciences </t>
  </si>
  <si>
    <t xml:space="preserve">CD56 </t>
  </si>
  <si>
    <t xml:space="preserve">Food Science and Microbiology (3 or 4 years) </t>
  </si>
  <si>
    <t xml:space="preserve">C110 </t>
  </si>
  <si>
    <t xml:space="preserve">L2 - Politics </t>
  </si>
  <si>
    <t xml:space="preserve">L200 </t>
  </si>
  <si>
    <t xml:space="preserve">Politics </t>
  </si>
  <si>
    <t xml:space="preserve">L0C8 </t>
  </si>
  <si>
    <t xml:space="preserve">Politics, Psychology and Sociology </t>
  </si>
  <si>
    <t xml:space="preserve">S90 </t>
  </si>
  <si>
    <t xml:space="preserve">University of Sussex </t>
  </si>
  <si>
    <t xml:space="preserve">CB81 </t>
  </si>
  <si>
    <t xml:space="preserve">Psychology with Neuroscience </t>
  </si>
  <si>
    <t xml:space="preserve">A40 </t>
  </si>
  <si>
    <t xml:space="preserve">Political Studies </t>
  </si>
  <si>
    <t xml:space="preserve">Extra </t>
  </si>
  <si>
    <t xml:space="preserve">Unknown </t>
  </si>
  <si>
    <t xml:space="preserve">B7 - Nursing </t>
  </si>
  <si>
    <t xml:space="preserve">B750 </t>
  </si>
  <si>
    <t xml:space="preserve">Dental Hygiene and Therapy </t>
  </si>
  <si>
    <t xml:space="preserve">Dental Hygiene and Dental Therapy </t>
  </si>
  <si>
    <t xml:space="preserve">A2 - Pre-clinical Dentistry </t>
  </si>
  <si>
    <t xml:space="preserve">A200 </t>
  </si>
  <si>
    <t xml:space="preserve">Dentistry (5 years) </t>
  </si>
  <si>
    <t xml:space="preserve">L41 </t>
  </si>
  <si>
    <t xml:space="preserve">The University of Liverpool </t>
  </si>
  <si>
    <t xml:space="preserve">Dental Surgery </t>
  </si>
  <si>
    <t xml:space="preserve">A206 </t>
  </si>
  <si>
    <t xml:space="preserve">Dentistry - Second BDS entry (5 years) </t>
  </si>
  <si>
    <t xml:space="preserve">L1 - Economics </t>
  </si>
  <si>
    <t xml:space="preserve">L112 </t>
  </si>
  <si>
    <t xml:space="preserve">Economics and Management Sciences </t>
  </si>
  <si>
    <t xml:space="preserve">Money, Banking and Finance </t>
  </si>
  <si>
    <t xml:space="preserve">LN12 </t>
  </si>
  <si>
    <t xml:space="preserve">Economics and Management Studies </t>
  </si>
  <si>
    <t xml:space="preserve">Economics and Management </t>
  </si>
  <si>
    <t xml:space="preserve">LN11 </t>
  </si>
  <si>
    <t xml:space="preserve">Business Economics (3 or 4 years) </t>
  </si>
  <si>
    <t xml:space="preserve">D65 </t>
  </si>
  <si>
    <t xml:space="preserve">University of Dundee </t>
  </si>
  <si>
    <t xml:space="preserve">Medicine (first-year entry) </t>
  </si>
  <si>
    <t xml:space="preserve">A20 </t>
  </si>
  <si>
    <t xml:space="preserve">The University of Aberdeen </t>
  </si>
  <si>
    <t xml:space="preserve">B1 - Anatomy,Physiology and Pathology </t>
  </si>
  <si>
    <t xml:space="preserve">B100 </t>
  </si>
  <si>
    <t xml:space="preserve">Medical Sciences </t>
  </si>
  <si>
    <t xml:space="preserve">Y50 </t>
  </si>
  <si>
    <t xml:space="preserve">The University of York </t>
  </si>
  <si>
    <t xml:space="preserve">VL52 </t>
  </si>
  <si>
    <t xml:space="preserve">Group D Vet Sci,Ag &amp; related </t>
  </si>
  <si>
    <t xml:space="preserve">D5 - Forestry </t>
  </si>
  <si>
    <t xml:space="preserve">D500 </t>
  </si>
  <si>
    <t xml:space="preserve">Forestry </t>
  </si>
  <si>
    <t xml:space="preserve">N38 </t>
  </si>
  <si>
    <t xml:space="preserve">University of Northampton </t>
  </si>
  <si>
    <t xml:space="preserve">B710 </t>
  </si>
  <si>
    <t xml:space="preserve">Nursing (Mental Health) </t>
  </si>
  <si>
    <t xml:space="preserve">G70 </t>
  </si>
  <si>
    <t xml:space="preserve">University of Greenwich </t>
  </si>
  <si>
    <t xml:space="preserve">B760 </t>
  </si>
  <si>
    <t xml:space="preserve">Nursing (Mental Health Registration) </t>
  </si>
  <si>
    <t xml:space="preserve">B94 </t>
  </si>
  <si>
    <t xml:space="preserve">Buckinghamshire New University </t>
  </si>
  <si>
    <t xml:space="preserve">B701 </t>
  </si>
  <si>
    <t xml:space="preserve">Nursing (Adult) </t>
  </si>
  <si>
    <t xml:space="preserve">A60 </t>
  </si>
  <si>
    <t xml:space="preserve">Anglia Ruskin University </t>
  </si>
  <si>
    <t xml:space="preserve">S82 </t>
  </si>
  <si>
    <t xml:space="preserve">University Campus Suffolk </t>
  </si>
  <si>
    <t xml:space="preserve">Mental Health Nursing </t>
  </si>
  <si>
    <t xml:space="preserve">Group P Mass Comms and Documentation </t>
  </si>
  <si>
    <t xml:space="preserve">P3 - Media studies </t>
  </si>
  <si>
    <t xml:space="preserve">P300 </t>
  </si>
  <si>
    <t xml:space="preserve">Film &amp; Media </t>
  </si>
  <si>
    <t xml:space="preserve">Q25 </t>
  </si>
  <si>
    <t xml:space="preserve">Queen Margaret University , Edinburgh </t>
  </si>
  <si>
    <t xml:space="preserve">P303 </t>
  </si>
  <si>
    <t xml:space="preserve">Film and Media </t>
  </si>
  <si>
    <t xml:space="preserve">W4 - Drama </t>
  </si>
  <si>
    <t xml:space="preserve">W490 </t>
  </si>
  <si>
    <t xml:space="preserve">Drama and Performance </t>
  </si>
  <si>
    <t xml:space="preserve">E59 </t>
  </si>
  <si>
    <t xml:space="preserve">Edinburgh Napier University </t>
  </si>
  <si>
    <t xml:space="preserve">QP33 </t>
  </si>
  <si>
    <t xml:space="preserve">English and Film </t>
  </si>
  <si>
    <t xml:space="preserve">G28 </t>
  </si>
  <si>
    <t xml:space="preserve">University of Glasgow </t>
  </si>
  <si>
    <t xml:space="preserve">WW - Combinations within Creative Arts and Design </t>
  </si>
  <si>
    <t xml:space="preserve">WW46 </t>
  </si>
  <si>
    <t xml:space="preserve">Film &amp; Television Studies/Theatre Studies </t>
  </si>
  <si>
    <t xml:space="preserve">LV71 </t>
  </si>
  <si>
    <t xml:space="preserve">Geography and History </t>
  </si>
  <si>
    <t xml:space="preserve">VL17 </t>
  </si>
  <si>
    <t xml:space="preserve">History and Human Geography </t>
  </si>
  <si>
    <t xml:space="preserve">L7 - Human and Social Geography </t>
  </si>
  <si>
    <t xml:space="preserve">L700 </t>
  </si>
  <si>
    <t xml:space="preserve">Geography </t>
  </si>
  <si>
    <t xml:space="preserve">L79 </t>
  </si>
  <si>
    <t xml:space="preserve">Loughborough University </t>
  </si>
  <si>
    <t xml:space="preserve">Y Combs of phys/math science with arts/humanities/languages </t>
  </si>
  <si>
    <t xml:space="preserve">VF18 </t>
  </si>
  <si>
    <t xml:space="preserve">History and Geography </t>
  </si>
  <si>
    <t xml:space="preserve">K84 </t>
  </si>
  <si>
    <t xml:space="preserve">Kingston University </t>
  </si>
  <si>
    <t xml:space="preserve">C890 </t>
  </si>
  <si>
    <t xml:space="preserve">Forensic Psychology </t>
  </si>
  <si>
    <t xml:space="preserve">C816 </t>
  </si>
  <si>
    <t xml:space="preserve">C810 </t>
  </si>
  <si>
    <t xml:space="preserve">E28 </t>
  </si>
  <si>
    <t xml:space="preserve">University of East London </t>
  </si>
  <si>
    <t xml:space="preserve">L51 </t>
  </si>
  <si>
    <t xml:space="preserve">Liverpool John Moores University </t>
  </si>
  <si>
    <t xml:space="preserve">Y Combs of science/engineering with social studies/bus/law </t>
  </si>
  <si>
    <t xml:space="preserve">CM82 </t>
  </si>
  <si>
    <t xml:space="preserve">Forensic Psychology and Criminal Justice </t>
  </si>
  <si>
    <t xml:space="preserve">N21 </t>
  </si>
  <si>
    <t xml:space="preserve">Newcastle University </t>
  </si>
  <si>
    <t xml:space="preserve">Z General, other combined &amp; unknown </t>
  </si>
  <si>
    <t xml:space="preserve">Z Combs of 3 subjects, or other general courses </t>
  </si>
  <si>
    <t xml:space="preserve">Y001 </t>
  </si>
  <si>
    <t xml:space="preserve">Combined Honours </t>
  </si>
  <si>
    <t xml:space="preserve">L000 </t>
  </si>
  <si>
    <t xml:space="preserve">QW83 </t>
  </si>
  <si>
    <t xml:space="preserve">Classical Literature &amp; Civilisation and Music </t>
  </si>
  <si>
    <t xml:space="preserve">WV3 8AF </t>
  </si>
  <si>
    <t xml:space="preserve">W75 </t>
  </si>
  <si>
    <t xml:space="preserve">University of Wolverhampton </t>
  </si>
  <si>
    <t xml:space="preserve">W2 - Design studies </t>
  </si>
  <si>
    <t xml:space="preserve">W211 </t>
  </si>
  <si>
    <t xml:space="preserve">Graphic Communication </t>
  </si>
  <si>
    <t xml:space="preserve">C20 </t>
  </si>
  <si>
    <t xml:space="preserve">University of Wales Institute, Cardiff </t>
  </si>
  <si>
    <t xml:space="preserve">W210 </t>
  </si>
  <si>
    <t xml:space="preserve">Graphic Design </t>
  </si>
  <si>
    <t xml:space="preserve">Visual Communication (Graphic Communication) </t>
  </si>
  <si>
    <t xml:space="preserve">B77 </t>
  </si>
  <si>
    <t xml:space="preserve">Bristol, City of Bristol College </t>
  </si>
  <si>
    <t xml:space="preserve">P310 </t>
  </si>
  <si>
    <t xml:space="preserve">Digital Media Production </t>
  </si>
  <si>
    <t xml:space="preserve">Y Combs of arts/humanities </t>
  </si>
  <si>
    <t xml:space="preserve">WP99 </t>
  </si>
  <si>
    <t xml:space="preserve">Creative Writing/Media Communications </t>
  </si>
  <si>
    <t xml:space="preserve">A66 </t>
  </si>
  <si>
    <t xml:space="preserve">The Arts University College at Bournemouth </t>
  </si>
  <si>
    <t xml:space="preserve">W280 </t>
  </si>
  <si>
    <t xml:space="preserve">W293 </t>
  </si>
  <si>
    <t xml:space="preserve">Media Practice </t>
  </si>
  <si>
    <t xml:space="preserve">P314 </t>
  </si>
  <si>
    <t xml:space="preserve">Commercial Video with Multimedia </t>
  </si>
  <si>
    <t xml:space="preserve">Group V Hist &amp; Philosophical studies </t>
  </si>
  <si>
    <t xml:space="preserve">V5 - Philosophy </t>
  </si>
  <si>
    <t xml:space="preserve">V500 </t>
  </si>
  <si>
    <t xml:space="preserve">Philosophy </t>
  </si>
  <si>
    <t xml:space="preserve">O66 </t>
  </si>
  <si>
    <t xml:space="preserve">Oxford Brookes University </t>
  </si>
  <si>
    <t xml:space="preserve">H36 </t>
  </si>
  <si>
    <t xml:space="preserve">University of Hertfordshire </t>
  </si>
  <si>
    <t xml:space="preserve">S64 </t>
  </si>
  <si>
    <t xml:space="preserve">St Mary's University College, Twickenham </t>
  </si>
  <si>
    <t xml:space="preserve">Group M Law </t>
  </si>
  <si>
    <t xml:space="preserve">M2 - Law by Topic </t>
  </si>
  <si>
    <t xml:space="preserve">M211 </t>
  </si>
  <si>
    <t xml:space="preserve">Criminology </t>
  </si>
  <si>
    <t xml:space="preserve">L5 - Social Work </t>
  </si>
  <si>
    <t xml:space="preserve">L502 </t>
  </si>
  <si>
    <t xml:space="preserve">Social Work </t>
  </si>
  <si>
    <t xml:space="preserve">S84 </t>
  </si>
  <si>
    <t xml:space="preserve">University of Sunderland </t>
  </si>
  <si>
    <t xml:space="preserve">L500 </t>
  </si>
  <si>
    <t xml:space="preserve">N28 </t>
  </si>
  <si>
    <t xml:space="preserve">New College Durham </t>
  </si>
  <si>
    <t xml:space="preserve">T20 </t>
  </si>
  <si>
    <t xml:space="preserve">Teesside University </t>
  </si>
  <si>
    <t xml:space="preserve">BL75 </t>
  </si>
  <si>
    <t xml:space="preserve">Social Work and Nursing Studies (Mental Health) (Pre-Registration) </t>
  </si>
  <si>
    <t xml:space="preserve">S21 </t>
  </si>
  <si>
    <t xml:space="preserve">Sheffield Hallam University </t>
  </si>
  <si>
    <t xml:space="preserve">Nursing Studies (Adult Care) </t>
  </si>
  <si>
    <t xml:space="preserve">I - You have a disability, impairment or medical condition that is not listed above </t>
  </si>
  <si>
    <t xml:space="preserve">WF1 4RA </t>
  </si>
  <si>
    <t xml:space="preserve">LW33 </t>
  </si>
  <si>
    <t xml:space="preserve">Popular Music (Production) and Sociology </t>
  </si>
  <si>
    <t xml:space="preserve">W340 </t>
  </si>
  <si>
    <t xml:space="preserve">Popular Music </t>
  </si>
  <si>
    <t xml:space="preserve">H60 </t>
  </si>
  <si>
    <t xml:space="preserve">The University of Huddersfield </t>
  </si>
  <si>
    <t xml:space="preserve">WW38 </t>
  </si>
  <si>
    <t xml:space="preserve">Popular Music/Creative Writing </t>
  </si>
  <si>
    <t xml:space="preserve">H72 </t>
  </si>
  <si>
    <t xml:space="preserve">The University of Hull </t>
  </si>
  <si>
    <t xml:space="preserve">W341 </t>
  </si>
  <si>
    <t xml:space="preserve">B72 </t>
  </si>
  <si>
    <t xml:space="preserve">University of Brighton </t>
  </si>
  <si>
    <t xml:space="preserve">W6 - Cinematics and Photography </t>
  </si>
  <si>
    <t xml:space="preserve">W640 </t>
  </si>
  <si>
    <t xml:space="preserve">Photography </t>
  </si>
  <si>
    <t xml:space="preserve">W651 </t>
  </si>
  <si>
    <t xml:space="preserve">Photography, Video and Digital Imaging </t>
  </si>
  <si>
    <t xml:space="preserve">C93 </t>
  </si>
  <si>
    <t xml:space="preserve">University for the Creative Arts (Formerly University College for the Creative Arts) </t>
  </si>
  <si>
    <t xml:space="preserve">F33 </t>
  </si>
  <si>
    <t xml:space="preserve">University College Falmouth </t>
  </si>
  <si>
    <t xml:space="preserve">R12 </t>
  </si>
  <si>
    <t xml:space="preserve">The University of Reading </t>
  </si>
  <si>
    <t xml:space="preserve">L75 </t>
  </si>
  <si>
    <t xml:space="preserve">London South Bank University </t>
  </si>
  <si>
    <t xml:space="preserve">M9 - Others in Law </t>
  </si>
  <si>
    <t xml:space="preserve">M930 </t>
  </si>
  <si>
    <t xml:space="preserve">Y Combs of soc studies/law </t>
  </si>
  <si>
    <t xml:space="preserve">LM39 </t>
  </si>
  <si>
    <t xml:space="preserve">M80 </t>
  </si>
  <si>
    <t xml:space="preserve">Middlesex University </t>
  </si>
  <si>
    <t xml:space="preserve">L350 </t>
  </si>
  <si>
    <t xml:space="preserve">M9M1 </t>
  </si>
  <si>
    <t xml:space="preserve">Criminology with Law </t>
  </si>
  <si>
    <t xml:space="preserve">L68 </t>
  </si>
  <si>
    <t xml:space="preserve">London Metropolitan University </t>
  </si>
  <si>
    <t xml:space="preserve">MM - Combinations within Law </t>
  </si>
  <si>
    <t xml:space="preserve">MM1X </t>
  </si>
  <si>
    <t xml:space="preserve">Criminology and Law </t>
  </si>
  <si>
    <t xml:space="preserve">PW3P </t>
  </si>
  <si>
    <t xml:space="preserve">Film Production &amp; Film &amp; Media </t>
  </si>
  <si>
    <t xml:space="preserve">G50 </t>
  </si>
  <si>
    <t xml:space="preserve">The University of Gloucestershire </t>
  </si>
  <si>
    <t xml:space="preserve">W610 </t>
  </si>
  <si>
    <t xml:space="preserve">Digital Film Production </t>
  </si>
  <si>
    <t xml:space="preserve">B44 </t>
  </si>
  <si>
    <t xml:space="preserve">University of Bolton </t>
  </si>
  <si>
    <t xml:space="preserve">PWH8 </t>
  </si>
  <si>
    <t xml:space="preserve">Media, Writing &amp; Production </t>
  </si>
  <si>
    <t xml:space="preserve">V1 - History by Period </t>
  </si>
  <si>
    <t xml:space="preserve">V100 </t>
  </si>
  <si>
    <t xml:space="preserve">History </t>
  </si>
  <si>
    <t xml:space="preserve">CV81 </t>
  </si>
  <si>
    <t xml:space="preserve">History/Psychology </t>
  </si>
  <si>
    <t xml:space="preserve">VXD1 </t>
  </si>
  <si>
    <t xml:space="preserve">History, Sociology and Professional Education </t>
  </si>
  <si>
    <t xml:space="preserve">S36 </t>
  </si>
  <si>
    <t xml:space="preserve">University of St Andrews </t>
  </si>
  <si>
    <t xml:space="preserve">P2 - Publicity studies </t>
  </si>
  <si>
    <t xml:space="preserve">P390 </t>
  </si>
  <si>
    <t xml:space="preserve">New Media </t>
  </si>
  <si>
    <t xml:space="preserve">G4W2 </t>
  </si>
  <si>
    <t xml:space="preserve">Multimedia Technology and Design </t>
  </si>
  <si>
    <t xml:space="preserve">B84 </t>
  </si>
  <si>
    <t xml:space="preserve">Brunel University </t>
  </si>
  <si>
    <t xml:space="preserve">H6W2 </t>
  </si>
  <si>
    <t xml:space="preserve">W614 </t>
  </si>
  <si>
    <t xml:space="preserve">Multimedia </t>
  </si>
  <si>
    <t xml:space="preserve">H6WG </t>
  </si>
  <si>
    <t xml:space="preserve">Multimedia Technology and Design (4 year Thick SW) </t>
  </si>
  <si>
    <t xml:space="preserve">C6 - Sports Science </t>
  </si>
  <si>
    <t xml:space="preserve">C601 </t>
  </si>
  <si>
    <t xml:space="preserve">Sport &amp; Exercise Science (top-up) </t>
  </si>
  <si>
    <t xml:space="preserve">Other </t>
  </si>
  <si>
    <t xml:space="preserve">CB61 </t>
  </si>
  <si>
    <t xml:space="preserve">Sport and Exercise Science (Exercise Physiology) </t>
  </si>
  <si>
    <t xml:space="preserve">M1 - Law by Area </t>
  </si>
  <si>
    <t xml:space="preserve">M100 </t>
  </si>
  <si>
    <t xml:space="preserve">Law </t>
  </si>
  <si>
    <t>HEI code</t>
  </si>
  <si>
    <t>HEI region</t>
  </si>
  <si>
    <t>ZZ1 3DW</t>
  </si>
  <si>
    <t>XZ4 7WA</t>
  </si>
  <si>
    <t>XD78 3WD</t>
  </si>
  <si>
    <t>AQ1 5WE</t>
  </si>
  <si>
    <t>XG78 6SD</t>
  </si>
  <si>
    <t>XV7 2KL</t>
  </si>
  <si>
    <t>ZP41 9DF</t>
  </si>
  <si>
    <t>XV74 6PG</t>
  </si>
  <si>
    <t>VX23 7SH</t>
  </si>
  <si>
    <t>EF12 4ZS</t>
  </si>
  <si>
    <t>ET74 3TW</t>
  </si>
  <si>
    <t>XQ4 3SW</t>
  </si>
  <si>
    <t>VG9 3HG</t>
  </si>
  <si>
    <t>XB8 2KG</t>
  </si>
  <si>
    <t>UCAS_2012_1012345678_121234567</t>
  </si>
  <si>
    <t>UCAS_2012_1012345678_121234568</t>
  </si>
  <si>
    <t>UCAS_2012_1012345678_121234569</t>
  </si>
  <si>
    <t>UCAS_2012_1012345678_121234570</t>
  </si>
  <si>
    <t>UCAS_2012_1012345678_121234571</t>
  </si>
  <si>
    <t>UCAS_2012_1012345678_121234572</t>
  </si>
  <si>
    <t>UCAS_2012_1012345678_121234573</t>
  </si>
  <si>
    <t>UCAS_2012_1012345678_121234574</t>
  </si>
  <si>
    <t>UCAS_2012_1012345678_121234575</t>
  </si>
  <si>
    <t>UCAS_2012_1012345678_121234576</t>
  </si>
  <si>
    <t>UCAS_2012_1012345678_121234577</t>
  </si>
  <si>
    <t>UCAS_2012_1012345678_121234578</t>
  </si>
  <si>
    <t>UCAS_2012_1012345678_121234579</t>
  </si>
  <si>
    <t>UCAS_2012_1012345678_121234580</t>
  </si>
  <si>
    <t>UCAS_2012_1012345678_121234581</t>
  </si>
  <si>
    <t>UCAS_2012_1012345678_121234582</t>
  </si>
  <si>
    <t>UCAS_2012_1012345678_121234583</t>
  </si>
  <si>
    <t>UCAS_2012_1012345678_121234584</t>
  </si>
  <si>
    <t>UCAS_2012_1012345678_121234585</t>
  </si>
  <si>
    <t>UCAS_2012_1012345678_121234586</t>
  </si>
  <si>
    <t>UCAS_2012_1012345678_121234587</t>
  </si>
  <si>
    <t>UCAS_2012_1012345678_121234588</t>
  </si>
  <si>
    <t>UCAS_2012_1012345678_121234589</t>
  </si>
  <si>
    <t>UCAS_2012_1012345678_121234590</t>
  </si>
  <si>
    <t>UCAS_2012_1012345678_121234591</t>
  </si>
  <si>
    <t>UCAS_2012_1012345678_121234592</t>
  </si>
  <si>
    <t>UCAS_2012_1012345678_121234593</t>
  </si>
  <si>
    <t>UCAS_2012_1012345678_121234594</t>
  </si>
  <si>
    <t>UCAS_2012_1012345678_121234595</t>
  </si>
  <si>
    <t>UCAS_2012_1012345678_121234596</t>
  </si>
  <si>
    <t>UCAS_2012_1012345678_121234597</t>
  </si>
  <si>
    <t>UCAS_2012_1012345678_121234598</t>
  </si>
  <si>
    <t>UCAS_2012_1012345678_121234599</t>
  </si>
  <si>
    <t>UCAS_2012_1012345678_121234500</t>
  </si>
  <si>
    <t>UCAS_2012_1012345678_121234501</t>
  </si>
  <si>
    <t>UCAS_2012_1012345678_121234502</t>
  </si>
  <si>
    <t>UCAS_2012_1012345678_121234503</t>
  </si>
  <si>
    <t>UCAS_2012_1012345678_121234504</t>
  </si>
  <si>
    <t>Stephanie</t>
  </si>
  <si>
    <t>Thomas</t>
  </si>
  <si>
    <t>Rachel</t>
  </si>
  <si>
    <t>Collins</t>
  </si>
  <si>
    <t>Adam</t>
  </si>
  <si>
    <t>Garrett</t>
  </si>
  <si>
    <t>Nick</t>
  </si>
  <si>
    <t>Fry</t>
  </si>
  <si>
    <t>Jasper</t>
  </si>
  <si>
    <t>Edwards</t>
  </si>
  <si>
    <t>Saunders</t>
  </si>
  <si>
    <t>Richard</t>
  </si>
  <si>
    <t>Chambers</t>
  </si>
  <si>
    <t>John</t>
  </si>
  <si>
    <t>Butler</t>
  </si>
  <si>
    <t>Fiona</t>
  </si>
  <si>
    <t>Weston</t>
  </si>
  <si>
    <t>Jacob</t>
  </si>
  <si>
    <t>Field</t>
  </si>
  <si>
    <t>Simon</t>
  </si>
  <si>
    <t>Ling</t>
  </si>
  <si>
    <t>Reena</t>
  </si>
  <si>
    <t>Patel</t>
  </si>
  <si>
    <t>Mohammed</t>
  </si>
  <si>
    <t>Atkins</t>
  </si>
  <si>
    <t>Hopkins</t>
  </si>
  <si>
    <t>Gareth</t>
  </si>
  <si>
    <t>Tom</t>
  </si>
  <si>
    <t>Hughes</t>
  </si>
  <si>
    <t>Lisa</t>
  </si>
  <si>
    <t>Thompson</t>
  </si>
  <si>
    <t>Robinson</t>
  </si>
  <si>
    <t>Amanda</t>
  </si>
  <si>
    <t>Rebecca</t>
  </si>
  <si>
    <t>Morgan</t>
  </si>
  <si>
    <t>James</t>
  </si>
  <si>
    <t>Trott</t>
  </si>
  <si>
    <t>Samantha</t>
  </si>
  <si>
    <t>Wellbourn</t>
  </si>
  <si>
    <t>Katie</t>
  </si>
  <si>
    <t>Williams</t>
  </si>
  <si>
    <t>Rosie</t>
  </si>
  <si>
    <t>Barker</t>
  </si>
  <si>
    <t>Anne</t>
  </si>
  <si>
    <t>Murray</t>
  </si>
  <si>
    <t>Zara</t>
  </si>
  <si>
    <t>Holmes</t>
  </si>
  <si>
    <t>Anna</t>
  </si>
  <si>
    <t>King</t>
  </si>
  <si>
    <t>David</t>
  </si>
  <si>
    <t>Tucker</t>
  </si>
  <si>
    <t>Kay</t>
  </si>
  <si>
    <t>Jonathan</t>
  </si>
  <si>
    <t>Simpson</t>
  </si>
  <si>
    <t>Joanna</t>
  </si>
  <si>
    <t>Laura</t>
  </si>
  <si>
    <t>Waite</t>
  </si>
  <si>
    <t>accepted HEI code</t>
  </si>
  <si>
    <t>accepted HEI region</t>
  </si>
  <si>
    <t>Choices</t>
  </si>
  <si>
    <t>Accepts</t>
  </si>
  <si>
    <t>Applicants</t>
  </si>
  <si>
    <t>FILTER APPLIED</t>
  </si>
  <si>
    <t>flag</t>
  </si>
  <si>
    <t>ucas</t>
  </si>
  <si>
    <t>school</t>
  </si>
  <si>
    <t>none</t>
  </si>
  <si>
    <t>top choices</t>
  </si>
  <si>
    <t>top accepts</t>
  </si>
  <si>
    <t>RG</t>
  </si>
  <si>
    <t>million+</t>
  </si>
  <si>
    <t>Uni alliance</t>
  </si>
  <si>
    <t>None</t>
  </si>
  <si>
    <t>sort by choice</t>
  </si>
  <si>
    <t>sort by accepts</t>
  </si>
  <si>
    <t>top 10 accepts</t>
  </si>
  <si>
    <t>top 10 choices</t>
  </si>
  <si>
    <t>my choices only</t>
  </si>
  <si>
    <t>my accepts only</t>
  </si>
  <si>
    <t>Million +</t>
  </si>
  <si>
    <t>UKADIA</t>
  </si>
  <si>
    <t>choice flag</t>
  </si>
  <si>
    <t>accept flag</t>
  </si>
  <si>
    <t xml:space="preserve">B06 Bangor University </t>
  </si>
  <si>
    <t xml:space="preserve">B16 University of Bath </t>
  </si>
  <si>
    <t xml:space="preserve">B74 Brighton and Sussex Medical School </t>
  </si>
  <si>
    <t xml:space="preserve">B87 British School of Osteopathy </t>
  </si>
  <si>
    <t xml:space="preserve">C35 Central School of Speech and Drama, University of London </t>
  </si>
  <si>
    <t xml:space="preserve">C55 University of Chester </t>
  </si>
  <si>
    <t xml:space="preserve">E80 European School of Osteopathy </t>
  </si>
  <si>
    <t xml:space="preserve">G14 University of Glamorgan, Cardiff and Pontypridd </t>
  </si>
  <si>
    <t xml:space="preserve">G56 Goldsmiths (University of London) </t>
  </si>
  <si>
    <t xml:space="preserve">H12 Harper Adams University College </t>
  </si>
  <si>
    <t xml:space="preserve">H24 Heriot-Watt University, Edinburgh </t>
  </si>
  <si>
    <t xml:space="preserve">L30 Leeds College of Music </t>
  </si>
  <si>
    <t xml:space="preserve">L48 The Liverpool Institute for Performing Arts </t>
  </si>
  <si>
    <t xml:space="preserve">L72 London School of Economics and Political Science (University of London) </t>
  </si>
  <si>
    <t xml:space="preserve">M95 Mountview Academy of Theatre Arts </t>
  </si>
  <si>
    <t xml:space="preserve">Q50 Queen Mary, University of London </t>
  </si>
  <si>
    <t xml:space="preserve">Q75 Queen's University Belfast </t>
  </si>
  <si>
    <t xml:space="preserve">R06 Ravensbourne </t>
  </si>
  <si>
    <t xml:space="preserve">R18 Regent’s College, London (incorporating Regent’s Business School, London) </t>
  </si>
  <si>
    <t xml:space="preserve">R51 Rose Bruford College </t>
  </si>
  <si>
    <t xml:space="preserve">R54 Royal Agricultural College </t>
  </si>
  <si>
    <t xml:space="preserve">R86 Royal Welsh College of Music and Drama (Coleg Brenhinol Cerdd a Drama Cymru) </t>
  </si>
  <si>
    <t xml:space="preserve">S03 The University of Salford </t>
  </si>
  <si>
    <t xml:space="preserve">S09 School of Oriental and African Studies (University of London) </t>
  </si>
  <si>
    <t xml:space="preserve">S30 Southampton Solent University </t>
  </si>
  <si>
    <t xml:space="preserve">S78 The University of Strathclyde </t>
  </si>
  <si>
    <t xml:space="preserve">T80 University of Wales Trinity Saint David </t>
  </si>
  <si>
    <t xml:space="preserve">U65 University of the Arts London </t>
  </si>
  <si>
    <t xml:space="preserve">W50 University of Westminster </t>
  </si>
  <si>
    <t xml:space="preserve">W76 University of Winchester </t>
  </si>
  <si>
    <t xml:space="preserve">Y75 York St John University </t>
  </si>
  <si>
    <t>J3 - Ceramics and Glass</t>
  </si>
  <si>
    <t>subject group</t>
  </si>
  <si>
    <t>subject line</t>
  </si>
  <si>
    <t>RESTRICTION</t>
  </si>
  <si>
    <t>top group choices</t>
  </si>
  <si>
    <t>top group accepts</t>
  </si>
  <si>
    <t>top line choices</t>
  </si>
  <si>
    <t>top line accepts</t>
  </si>
  <si>
    <t>top 10 group choices</t>
  </si>
  <si>
    <t>top 10 group accepts</t>
  </si>
  <si>
    <t>top 10 line choices</t>
  </si>
  <si>
    <t>top 10 line accepts</t>
  </si>
  <si>
    <t xml:space="preserve">A30 University of Abertay Dundee </t>
  </si>
  <si>
    <t xml:space="preserve">A44 Accrington &amp; Rossendale College </t>
  </si>
  <si>
    <t xml:space="preserve">A45 The College of Agriculture, Food and Rural Enterprise </t>
  </si>
  <si>
    <t xml:space="preserve">A50 American InterContinental University - London </t>
  </si>
  <si>
    <t xml:space="preserve">A55 Amersham &amp; Wycombe College </t>
  </si>
  <si>
    <t xml:space="preserve">A65 Anglo European College of Chiropractic </t>
  </si>
  <si>
    <t xml:space="preserve">A66 The Arts University College at Bournemouth </t>
  </si>
  <si>
    <t xml:space="preserve">A70 Askham Bryan College </t>
  </si>
  <si>
    <t xml:space="preserve">B08 Barnet and Southgate College </t>
  </si>
  <si>
    <t xml:space="preserve">B11 Barking and Dagenham College </t>
  </si>
  <si>
    <t xml:space="preserve">B15 Basingstoke College of Technology </t>
  </si>
  <si>
    <t xml:space="preserve">B21 City of Bath College </t>
  </si>
  <si>
    <t xml:space="preserve">B22 University of Bedfordshire </t>
  </si>
  <si>
    <t xml:space="preserve">B23 Bedford College </t>
  </si>
  <si>
    <t xml:space="preserve">B24 Birkbeck, University of London </t>
  </si>
  <si>
    <t xml:space="preserve">B25 Birmingham City University </t>
  </si>
  <si>
    <t xml:space="preserve">B30 Birmingham Metropolitan College </t>
  </si>
  <si>
    <t xml:space="preserve">B35 University College Birmingham </t>
  </si>
  <si>
    <t xml:space="preserve">B37 Bishop Burton College </t>
  </si>
  <si>
    <t xml:space="preserve">B38 Bishop Grosseteste University College Lincoln </t>
  </si>
  <si>
    <t xml:space="preserve">B40 Blackburn College </t>
  </si>
  <si>
    <t xml:space="preserve">B41 Blackpool and The Fylde College An Associate College of Lancaster University </t>
  </si>
  <si>
    <t xml:space="preserve">B44 University of Bolton </t>
  </si>
  <si>
    <t xml:space="preserve">B54 BPP University College of Professional Studies Limited </t>
  </si>
  <si>
    <t xml:space="preserve">B60 Bradford College: An Associate College of Leeds Metropolitan University </t>
  </si>
  <si>
    <t xml:space="preserve">B70 Bridgwater College </t>
  </si>
  <si>
    <t xml:space="preserve">B73 British Institute of Technology &amp; E- commerce </t>
  </si>
  <si>
    <t xml:space="preserve">B77 Bristol, City of Bristol College </t>
  </si>
  <si>
    <t xml:space="preserve">B79 Bristol Filton College </t>
  </si>
  <si>
    <t xml:space="preserve">B81 British College of Osteopathic Medicine </t>
  </si>
  <si>
    <t xml:space="preserve">B83 Brooklands College </t>
  </si>
  <si>
    <t xml:space="preserve">B90 The University of Buckingham </t>
  </si>
  <si>
    <t xml:space="preserve">B92 Brooksby Melton College </t>
  </si>
  <si>
    <t xml:space="preserve">B94 Buckinghamshire New University </t>
  </si>
  <si>
    <t xml:space="preserve">C06 Cambridge School of Visual &amp; Performing Arts </t>
  </si>
  <si>
    <t xml:space="preserve">C20 Cardiff Metropolitan University (UWIC) </t>
  </si>
  <si>
    <t xml:space="preserve">C22 Coleg Sir Gar / Carmarthenshire College </t>
  </si>
  <si>
    <t xml:space="preserve">C24 Carshalton College </t>
  </si>
  <si>
    <t xml:space="preserve">C30 University of Central Lancashire </t>
  </si>
  <si>
    <t xml:space="preserve">C57 Chichester College </t>
  </si>
  <si>
    <t xml:space="preserve">C60 City University </t>
  </si>
  <si>
    <t xml:space="preserve">C62 City College, Birmingham </t>
  </si>
  <si>
    <t xml:space="preserve">C64 City College Coventry </t>
  </si>
  <si>
    <t xml:space="preserve">C65 City and Islington College </t>
  </si>
  <si>
    <t xml:space="preserve">C69 City of Sunderland College </t>
  </si>
  <si>
    <t xml:space="preserve">C71 Cleveland College of Art and Design </t>
  </si>
  <si>
    <t xml:space="preserve">C72 Cliff College </t>
  </si>
  <si>
    <t xml:space="preserve">C75 Colchester Institute </t>
  </si>
  <si>
    <t xml:space="preserve">C78 Cornwall College </t>
  </si>
  <si>
    <t xml:space="preserve">C80 Courtauld Institute of Art (University of London) </t>
  </si>
  <si>
    <t xml:space="preserve">C85 Coventry University </t>
  </si>
  <si>
    <t xml:space="preserve">C88 Craven College </t>
  </si>
  <si>
    <t xml:space="preserve">C92 Croydon College </t>
  </si>
  <si>
    <t xml:space="preserve">C99 University of Cumbria </t>
  </si>
  <si>
    <t xml:space="preserve">D22 Dearne Valley College </t>
  </si>
  <si>
    <t xml:space="preserve">D39 University of Derby </t>
  </si>
  <si>
    <t xml:space="preserve">D52 Doncaster College </t>
  </si>
  <si>
    <t xml:space="preserve">D55 Duchy College </t>
  </si>
  <si>
    <t xml:space="preserve">D58 Dudley College of Technology </t>
  </si>
  <si>
    <t xml:space="preserve">E10 Ealing, Hammersmith and West London College </t>
  </si>
  <si>
    <t xml:space="preserve">E28 University of East London </t>
  </si>
  <si>
    <t xml:space="preserve">E29 East Riding College </t>
  </si>
  <si>
    <t xml:space="preserve">E30 Easton College </t>
  </si>
  <si>
    <t xml:space="preserve">E32 East Surrey College (incorporating Reigate School of Art, Design and Media) </t>
  </si>
  <si>
    <t xml:space="preserve">E41 Edge Hotel School </t>
  </si>
  <si>
    <t xml:space="preserve">E42 Edge Hill University </t>
  </si>
  <si>
    <t xml:space="preserve">E77 European Business School, London </t>
  </si>
  <si>
    <t xml:space="preserve">E78 European School of Economics </t>
  </si>
  <si>
    <t xml:space="preserve">E81 Exeter College </t>
  </si>
  <si>
    <t xml:space="preserve">F66 Farnborough College of Technology </t>
  </si>
  <si>
    <t xml:space="preserve">G42 Glasgow Caledonian University </t>
  </si>
  <si>
    <t xml:space="preserve">G43 The Glasgow School of Art </t>
  </si>
  <si>
    <t xml:space="preserve">G45 Gloucestershire College </t>
  </si>
  <si>
    <t xml:space="preserve">G53 Glyndwr University </t>
  </si>
  <si>
    <t xml:space="preserve">G59 Gower College Swansea </t>
  </si>
  <si>
    <t xml:space="preserve">G74 Greenwich School of Management </t>
  </si>
  <si>
    <t xml:space="preserve">G80 Grimsby Institute of Further and Higher Education </t>
  </si>
  <si>
    <t xml:space="preserve">G90 Guildford College of Further and Higher Education </t>
  </si>
  <si>
    <t xml:space="preserve">H08 The College of Haringey, Enfield and North East London </t>
  </si>
  <si>
    <t xml:space="preserve">H11 Harrow College </t>
  </si>
  <si>
    <t xml:space="preserve">H14 Havering College of Further and Higher Education </t>
  </si>
  <si>
    <t xml:space="preserve">H18 Hereford College of Arts </t>
  </si>
  <si>
    <t xml:space="preserve">H36 University of Hertfordshire </t>
  </si>
  <si>
    <t xml:space="preserve">H39 Highbury College </t>
  </si>
  <si>
    <t xml:space="preserve">H48 Heythrop College (University of London) </t>
  </si>
  <si>
    <t xml:space="preserve">H49 University of the Highlands and Islands </t>
  </si>
  <si>
    <t xml:space="preserve">H50 Holborn College </t>
  </si>
  <si>
    <t xml:space="preserve">H54 Hopwood Hall College </t>
  </si>
  <si>
    <t xml:space="preserve">H60 The University of Huddersfield </t>
  </si>
  <si>
    <t xml:space="preserve">H72 The University of Hull </t>
  </si>
  <si>
    <t xml:space="preserve">H73 Hull College </t>
  </si>
  <si>
    <t xml:space="preserve">H75 Hull York Medical School </t>
  </si>
  <si>
    <t xml:space="preserve">I30 Institute of Education University of London </t>
  </si>
  <si>
    <t xml:space="preserve">I35 Istituto Marangoni </t>
  </si>
  <si>
    <t xml:space="preserve">I55 ifs School of Finance </t>
  </si>
  <si>
    <t xml:space="preserve">I60 Islamic College for Advanced Studies </t>
  </si>
  <si>
    <t xml:space="preserve">K05 Kaplan Business and Law School </t>
  </si>
  <si>
    <t xml:space="preserve">K12 Keele University </t>
  </si>
  <si>
    <t xml:space="preserve">K15 Kensington College of Business </t>
  </si>
  <si>
    <t xml:space="preserve">K83 Kingston College </t>
  </si>
  <si>
    <t xml:space="preserve">K90 Kirklees College </t>
  </si>
  <si>
    <t xml:space="preserve">L05 Lakes College - West Cumbria </t>
  </si>
  <si>
    <t xml:space="preserve">L17 The College of Law </t>
  </si>
  <si>
    <t xml:space="preserve">L21 Leeds City College </t>
  </si>
  <si>
    <t xml:space="preserve">L24 Leeds Trinity University College </t>
  </si>
  <si>
    <t xml:space="preserve">L28 Leeds College of Art &amp; Design </t>
  </si>
  <si>
    <t xml:space="preserve">L32 Leeds College of Building </t>
  </si>
  <si>
    <t xml:space="preserve">L36 Leicester College </t>
  </si>
  <si>
    <t xml:space="preserve">L39 University of Lincoln </t>
  </si>
  <si>
    <t xml:space="preserve">L42 Lincoln College </t>
  </si>
  <si>
    <t xml:space="preserve">L43 Liverpool Community College </t>
  </si>
  <si>
    <t xml:space="preserve">L46 Liverpool Hope University </t>
  </si>
  <si>
    <t xml:space="preserve">L51 Liverpool John Moores University </t>
  </si>
  <si>
    <t xml:space="preserve">L53 Coleg Llandrillo Cymru </t>
  </si>
  <si>
    <t xml:space="preserve">L54 London Electronics College </t>
  </si>
  <si>
    <t xml:space="preserve">L62 The London College, UCK </t>
  </si>
  <si>
    <t xml:space="preserve">L63 LCA Business School, London </t>
  </si>
  <si>
    <t xml:space="preserve">L67 London School of Accountancy and Management </t>
  </si>
  <si>
    <t xml:space="preserve">L68 London Metropolitan University </t>
  </si>
  <si>
    <t xml:space="preserve">L70 London School of Commerce </t>
  </si>
  <si>
    <t xml:space="preserve">L71 London School of Science and Technology </t>
  </si>
  <si>
    <t xml:space="preserve">L77 Loughborough College </t>
  </si>
  <si>
    <t xml:space="preserve">M10 The Manchester College (Formerly Manchester College of Arts and Technology) </t>
  </si>
  <si>
    <t xml:space="preserve">M62 Medway School of Pharmacy </t>
  </si>
  <si>
    <t xml:space="preserve">M65 Coleg Menai </t>
  </si>
  <si>
    <t xml:space="preserve">M77 Mid-Cheshire College </t>
  </si>
  <si>
    <t xml:space="preserve">M80 Middlesex University </t>
  </si>
  <si>
    <t xml:space="preserve">M93 Moulton College </t>
  </si>
  <si>
    <t xml:space="preserve">M99 Myerscough College </t>
  </si>
  <si>
    <t xml:space="preserve">N11 Nazarene Theological College </t>
  </si>
  <si>
    <t xml:space="preserve">N13 Neath Port Talbot College </t>
  </si>
  <si>
    <t xml:space="preserve">N23 Newcastle College </t>
  </si>
  <si>
    <t xml:space="preserve">N28 New College Durham </t>
  </si>
  <si>
    <t xml:space="preserve">N30 New College Nottingham </t>
  </si>
  <si>
    <t xml:space="preserve">N31 Newham College of Further Education </t>
  </si>
  <si>
    <t xml:space="preserve">N33 New College Stamford </t>
  </si>
  <si>
    <t xml:space="preserve">N36 Newman University College, Birmingham </t>
  </si>
  <si>
    <t xml:space="preserve">N37 University of Wales, Newport </t>
  </si>
  <si>
    <t xml:space="preserve">N38 University of Northampton </t>
  </si>
  <si>
    <t xml:space="preserve">N39 Norwich University College Of The Arts (Was The Norwich School of Art and Design) </t>
  </si>
  <si>
    <t xml:space="preserve">N41 Northbrook College Sussex </t>
  </si>
  <si>
    <t xml:space="preserve">N49 NESCOT </t>
  </si>
  <si>
    <t xml:space="preserve">N51 New College Telford </t>
  </si>
  <si>
    <t xml:space="preserve">N58 North East Worcestershire College </t>
  </si>
  <si>
    <t xml:space="preserve">N61 North Glasgow College </t>
  </si>
  <si>
    <t xml:space="preserve">N64 North Lindsey College </t>
  </si>
  <si>
    <t xml:space="preserve">N79 North Warwickshire and Hinckley College </t>
  </si>
  <si>
    <t xml:space="preserve">N82 Norwich City College of Further and Higher Education (an Associate College of UEA) </t>
  </si>
  <si>
    <t xml:space="preserve">O25 Oxford &amp; Cherwell Valley College </t>
  </si>
  <si>
    <t xml:space="preserve">P26 University of London Institute in Paris </t>
  </si>
  <si>
    <t xml:space="preserve">P34 Pearson College </t>
  </si>
  <si>
    <t xml:space="preserve">P35 Pembrokeshire College (Accredited College of University of Glamorgan) </t>
  </si>
  <si>
    <t xml:space="preserve">P37 Peninsula College of Medicine &amp; Dentistry </t>
  </si>
  <si>
    <t xml:space="preserve">P51 Petroc (Formerly North Devon College) </t>
  </si>
  <si>
    <t xml:space="preserve">P56 University Centre Peterborough </t>
  </si>
  <si>
    <t xml:space="preserve">P60 Plymouth University </t>
  </si>
  <si>
    <t xml:space="preserve">P63 UCP Marjon  University College Plymouth St Mark &amp; St John </t>
  </si>
  <si>
    <t xml:space="preserve">P65 Plymouth College of Art </t>
  </si>
  <si>
    <t xml:space="preserve">Q25 Queen Margaret University , Edinburgh </t>
  </si>
  <si>
    <t xml:space="preserve">R20 Richmond, The American International University in London </t>
  </si>
  <si>
    <t xml:space="preserve">R21 Richmond Upon Thames College </t>
  </si>
  <si>
    <t xml:space="preserve">R36 The Robert Gordon University </t>
  </si>
  <si>
    <t xml:space="preserve">R48 Roehampton University </t>
  </si>
  <si>
    <t xml:space="preserve">R52 Rotherham College of Arts and Technology </t>
  </si>
  <si>
    <t xml:space="preserve">R55 Royal Academy of Dance </t>
  </si>
  <si>
    <t xml:space="preserve">R84 Royal Veterinary College (University of London) </t>
  </si>
  <si>
    <t xml:space="preserve">R90 Ruskin College Oxford </t>
  </si>
  <si>
    <t xml:space="preserve">S01 Scottish Agricultural College </t>
  </si>
  <si>
    <t xml:space="preserve">S05 SAE Institute </t>
  </si>
  <si>
    <t xml:space="preserve">S08 Sandwell College </t>
  </si>
  <si>
    <t xml:space="preserve">S12 The School of Pharmacy (University of London) </t>
  </si>
  <si>
    <t xml:space="preserve">S19 St Patrick's College, London </t>
  </si>
  <si>
    <t xml:space="preserve">S22 Sheffield College </t>
  </si>
  <si>
    <t xml:space="preserve">S26 Solihull College </t>
  </si>
  <si>
    <t xml:space="preserve">S28 Somerset College of Arts and Technology </t>
  </si>
  <si>
    <t xml:space="preserve">S32 South Devon College </t>
  </si>
  <si>
    <t xml:space="preserve">S34 Sparsholt College Hampshire </t>
  </si>
  <si>
    <t xml:space="preserve">S35 Southport College </t>
  </si>
  <si>
    <t xml:space="preserve">S41 South Cheshire College </t>
  </si>
  <si>
    <t xml:space="preserve">S42 South Downs College </t>
  </si>
  <si>
    <t xml:space="preserve">S43 South East Essex College (partner of the University of Essex) </t>
  </si>
  <si>
    <t xml:space="preserve">S46 South Nottingham College </t>
  </si>
  <si>
    <t xml:space="preserve">S49 St George's, University of London (formerly St George's Hospital Medical School) </t>
  </si>
  <si>
    <t xml:space="preserve">S51 St Helens College An Associate College of Liverpool John Moores University </t>
  </si>
  <si>
    <t xml:space="preserve">S52 South Tyneside College </t>
  </si>
  <si>
    <t xml:space="preserve">S64 St Mary's University College, Twickenham </t>
  </si>
  <si>
    <t xml:space="preserve">S69 Stephenson College Coalville </t>
  </si>
  <si>
    <t xml:space="preserve">S72 Staffordshire University </t>
  </si>
  <si>
    <t xml:space="preserve">S74 Stratford upon Avon College </t>
  </si>
  <si>
    <t xml:space="preserve">S76 Stockport College </t>
  </si>
  <si>
    <t xml:space="preserve">S77 Stourbridge College </t>
  </si>
  <si>
    <t xml:space="preserve">S79 Stranmillis University College: A College of Queen's University Belfast </t>
  </si>
  <si>
    <t xml:space="preserve">S82 University Campus Suffolk </t>
  </si>
  <si>
    <t xml:space="preserve">S84 University of Sunderland </t>
  </si>
  <si>
    <t xml:space="preserve">S89 Sussex Downs College </t>
  </si>
  <si>
    <t xml:space="preserve">S96 Swansea Metropolitan University </t>
  </si>
  <si>
    <t xml:space="preserve">S98 Swindon College </t>
  </si>
  <si>
    <t xml:space="preserve">T10 Tameside College </t>
  </si>
  <si>
    <t xml:space="preserve">T20 Teesside University </t>
  </si>
  <si>
    <t xml:space="preserve">T60 Tottenham Hotspur Foundation </t>
  </si>
  <si>
    <t xml:space="preserve">T85 Truro and Penwith College (Formerly Truro College) </t>
  </si>
  <si>
    <t xml:space="preserve">T90 Tyne Metropolitan College </t>
  </si>
  <si>
    <t xml:space="preserve">U20 University of Ulster </t>
  </si>
  <si>
    <t xml:space="preserve">U40 University of the West of Scotland </t>
  </si>
  <si>
    <t xml:space="preserve">U95 Uxbridge College </t>
  </si>
  <si>
    <t xml:space="preserve">W05 The University of West London </t>
  </si>
  <si>
    <t xml:space="preserve">W08 Wakefield College </t>
  </si>
  <si>
    <t xml:space="preserve">W12 Walsall College </t>
  </si>
  <si>
    <t xml:space="preserve">W17 Warrington Collegiate </t>
  </si>
  <si>
    <t xml:space="preserve">W25 Warwickshire College </t>
  </si>
  <si>
    <t xml:space="preserve">W35 College of West Anglia </t>
  </si>
  <si>
    <t xml:space="preserve">W36 West Cheshire College </t>
  </si>
  <si>
    <t xml:space="preserve">W51 City of Westminster College </t>
  </si>
  <si>
    <t xml:space="preserve">W52 Westminster Kingsway College </t>
  </si>
  <si>
    <t xml:space="preserve">W65 West Thames College </t>
  </si>
  <si>
    <t xml:space="preserve">W67 Wigan and Leigh College </t>
  </si>
  <si>
    <t xml:space="preserve">W73 Wirral Metropolitan College </t>
  </si>
  <si>
    <t xml:space="preserve">W74 Wiltshire College </t>
  </si>
  <si>
    <t xml:space="preserve">W75 University of Wolverhampton </t>
  </si>
  <si>
    <t xml:space="preserve">W80 University of Worcester </t>
  </si>
  <si>
    <t xml:space="preserve">W81 Worcester College of Technology </t>
  </si>
  <si>
    <t xml:space="preserve">W83 Working Men's College </t>
  </si>
  <si>
    <t xml:space="preserve">W85 Writtle College </t>
  </si>
  <si>
    <t xml:space="preserve">Y25 Yeovil College </t>
  </si>
  <si>
    <t xml:space="preserve">Y70 York College </t>
  </si>
  <si>
    <t xml:space="preserve">Y80 Yorkshire Coast College of Further and Higher Education </t>
  </si>
  <si>
    <t>All</t>
  </si>
  <si>
    <t>C6 - Sport and Exercise Science</t>
  </si>
  <si>
    <t>D5 - Forestry &amp; arboriculture</t>
  </si>
  <si>
    <t>F7 - Science of aquatic &amp; terrestrial environments</t>
  </si>
  <si>
    <t>F8 - Physical geographical sciences</t>
  </si>
  <si>
    <t>Group G Mathematical Sciences</t>
  </si>
  <si>
    <t>G9 - Others in Mathematical Sciences</t>
  </si>
  <si>
    <t>GG - Combinations within Mathematical Sciences</t>
  </si>
  <si>
    <t>Group I Computer Sciences</t>
  </si>
  <si>
    <t>I1 - Computer Science</t>
  </si>
  <si>
    <t>I2 - Information Systems</t>
  </si>
  <si>
    <t>I3 - Software Engineering</t>
  </si>
  <si>
    <t>I4 - Artificial Intelligence</t>
  </si>
  <si>
    <t>I5 - Health Informatics</t>
  </si>
  <si>
    <t>I6 - Games</t>
  </si>
  <si>
    <t>I7 - Computer generated visual &amp; audio effects</t>
  </si>
  <si>
    <t>I9 - Others in Computer Sciences</t>
  </si>
  <si>
    <t>II - Combinations in Computer Sciences</t>
  </si>
  <si>
    <t>K3 - Landscape &amp; Garden Design</t>
  </si>
  <si>
    <t>L8 - Development studies</t>
  </si>
  <si>
    <t>N8 - Hospitality, leisure, sport, tourism &amp; transport</t>
  </si>
  <si>
    <t>Group T Non-European Langs, Lit and related</t>
  </si>
  <si>
    <t>T6 - Modern Middle Eastern studies</t>
  </si>
  <si>
    <t>T9 - Others in non-European Langs, Lit &amp; related</t>
  </si>
  <si>
    <t>V7 - Heritage studies</t>
  </si>
  <si>
    <t>Y Combs of med/bio/agric sciences with phys/math/comp sciences</t>
  </si>
  <si>
    <t>Y Combs of phys/math/comp sciences</t>
  </si>
  <si>
    <t>A</t>
  </si>
  <si>
    <t>Rosehill College</t>
  </si>
  <si>
    <t>A20</t>
  </si>
  <si>
    <t>The University of Aberdeen</t>
  </si>
  <si>
    <t>Aberystwyth University</t>
  </si>
  <si>
    <t>Group I Engineering</t>
  </si>
  <si>
    <t>A44</t>
  </si>
  <si>
    <t>Accrington &amp; Rossendale College</t>
  </si>
  <si>
    <t>instreg</t>
  </si>
  <si>
    <t>inst</t>
  </si>
  <si>
    <t>Sum of tions11</t>
  </si>
  <si>
    <t>Sum of accs11</t>
  </si>
  <si>
    <t>Ations11</t>
  </si>
  <si>
    <t>Aaccs11</t>
  </si>
  <si>
    <t>Btions11</t>
  </si>
  <si>
    <t>Baccs11</t>
  </si>
  <si>
    <t>Ctions11</t>
  </si>
  <si>
    <t>Caccs11</t>
  </si>
  <si>
    <t>Dtions11</t>
  </si>
  <si>
    <t>Daccs11</t>
  </si>
  <si>
    <t>Ftions11</t>
  </si>
  <si>
    <t>Faccs11</t>
  </si>
  <si>
    <t>Gtions11</t>
  </si>
  <si>
    <t>Gaccs11</t>
  </si>
  <si>
    <t>Htions11</t>
  </si>
  <si>
    <t>Haccs11</t>
  </si>
  <si>
    <t>Itions11</t>
  </si>
  <si>
    <t>Iaccs11</t>
  </si>
  <si>
    <t>Jtions11</t>
  </si>
  <si>
    <t>Jaccs11</t>
  </si>
  <si>
    <t>Ktions11</t>
  </si>
  <si>
    <t>Kaccs11</t>
  </si>
  <si>
    <t>Ltions11</t>
  </si>
  <si>
    <t>Laccs11</t>
  </si>
  <si>
    <t>Mtions11</t>
  </si>
  <si>
    <t>Maccs11</t>
  </si>
  <si>
    <t>Ntions11</t>
  </si>
  <si>
    <t>Naccs11</t>
  </si>
  <si>
    <t>Ptions11</t>
  </si>
  <si>
    <t>Paccs11</t>
  </si>
  <si>
    <t>Qtions11</t>
  </si>
  <si>
    <t>Qaccs11</t>
  </si>
  <si>
    <t>Rtions11</t>
  </si>
  <si>
    <t>Raccs11</t>
  </si>
  <si>
    <t>Ttions11</t>
  </si>
  <si>
    <t>Taccs11</t>
  </si>
  <si>
    <t>Vtions11</t>
  </si>
  <si>
    <t>Vaccs11</t>
  </si>
  <si>
    <t>Wtions11</t>
  </si>
  <si>
    <t>Waccs11</t>
  </si>
  <si>
    <t>Xtions11</t>
  </si>
  <si>
    <t>Xaccs11</t>
  </si>
  <si>
    <t>Arttions11</t>
  </si>
  <si>
    <t>Artaccs11</t>
  </si>
  <si>
    <t>Scitions11</t>
  </si>
  <si>
    <t>Sciaccs11</t>
  </si>
  <si>
    <t>Soctions11</t>
  </si>
  <si>
    <t>Socaccs11</t>
  </si>
  <si>
    <t>Scicombtions11</t>
  </si>
  <si>
    <t>Scicombaccs11</t>
  </si>
  <si>
    <t>Soccombtions11</t>
  </si>
  <si>
    <t>Soccombaccs11</t>
  </si>
  <si>
    <t>Ztions11</t>
  </si>
  <si>
    <t>Zaccs11</t>
  </si>
  <si>
    <t>A45</t>
  </si>
  <si>
    <t>The College of Agriculture, Food and Rural Enterprise</t>
  </si>
  <si>
    <t>A1</t>
  </si>
  <si>
    <t>A50</t>
  </si>
  <si>
    <t>American InterContinental University - London</t>
  </si>
  <si>
    <t>A2</t>
  </si>
  <si>
    <t>A55</t>
  </si>
  <si>
    <t>Amersham &amp; Wycombe College</t>
  </si>
  <si>
    <t>A3</t>
  </si>
  <si>
    <t>A4</t>
  </si>
  <si>
    <t>A65</t>
  </si>
  <si>
    <t>Anglo European College of Chiropractic</t>
  </si>
  <si>
    <t>A5</t>
  </si>
  <si>
    <t>A66</t>
  </si>
  <si>
    <t>The Arts University College at Bournemouth</t>
  </si>
  <si>
    <t>A6</t>
  </si>
  <si>
    <t>A70</t>
  </si>
  <si>
    <t>Askham Bryan College</t>
  </si>
  <si>
    <t>A7</t>
  </si>
  <si>
    <t>A80</t>
  </si>
  <si>
    <t>Aston University, Birmingham</t>
  </si>
  <si>
    <t>A8</t>
  </si>
  <si>
    <t>B06</t>
  </si>
  <si>
    <t>Bangor University</t>
  </si>
  <si>
    <t>A9</t>
  </si>
  <si>
    <t>B08</t>
  </si>
  <si>
    <t>Barnet and Southgate College</t>
  </si>
  <si>
    <t>A10</t>
  </si>
  <si>
    <t>B11</t>
  </si>
  <si>
    <t>Barking and Dagenham College</t>
  </si>
  <si>
    <t>A11</t>
  </si>
  <si>
    <t>B15</t>
  </si>
  <si>
    <t>Basingstoke College of Technology</t>
  </si>
  <si>
    <t>A12</t>
  </si>
  <si>
    <t>A13</t>
  </si>
  <si>
    <t>% choices accepted</t>
  </si>
  <si>
    <t>A14</t>
  </si>
  <si>
    <t>B21</t>
  </si>
  <si>
    <t>City of Bath College</t>
  </si>
  <si>
    <t>A15</t>
  </si>
  <si>
    <t>University of Bedfordshire</t>
  </si>
  <si>
    <t>A16</t>
  </si>
  <si>
    <t>B23</t>
  </si>
  <si>
    <t>Bedford College</t>
  </si>
  <si>
    <t>A17</t>
  </si>
  <si>
    <t>Birkbeck, University of London</t>
  </si>
  <si>
    <t>A18</t>
  </si>
  <si>
    <t>Birmingham City University</t>
  </si>
  <si>
    <t>A19</t>
  </si>
  <si>
    <t>B30</t>
  </si>
  <si>
    <t>Birmingham Metropolitan College</t>
  </si>
  <si>
    <t>The University of Birmingham</t>
  </si>
  <si>
    <t>A21</t>
  </si>
  <si>
    <t>B35</t>
  </si>
  <si>
    <t>University College Birmingham</t>
  </si>
  <si>
    <t>A22</t>
  </si>
  <si>
    <t>B37</t>
  </si>
  <si>
    <t>Bishop Burton College</t>
  </si>
  <si>
    <t>A23</t>
  </si>
  <si>
    <t>B38</t>
  </si>
  <si>
    <t>Bishop Grosseteste University College Lincoln</t>
  </si>
  <si>
    <t>A24</t>
  </si>
  <si>
    <t>B40</t>
  </si>
  <si>
    <t>Blackburn College</t>
  </si>
  <si>
    <t>A25</t>
  </si>
  <si>
    <t>B41</t>
  </si>
  <si>
    <t>Blackpool and The Fylde College An Associate College of Lancaster University</t>
  </si>
  <si>
    <t>A26</t>
  </si>
  <si>
    <t>A27</t>
  </si>
  <si>
    <t>A28</t>
  </si>
  <si>
    <t>B54</t>
  </si>
  <si>
    <t>BPP University College of Professional Studies Limited</t>
  </si>
  <si>
    <t>A29</t>
  </si>
  <si>
    <t>The University of Bradford</t>
  </si>
  <si>
    <t>B60</t>
  </si>
  <si>
    <t>Bradford College: An Associate College of Leeds Metropolitan University</t>
  </si>
  <si>
    <t>A31</t>
  </si>
  <si>
    <t>B70</t>
  </si>
  <si>
    <t>Bridgwater College</t>
  </si>
  <si>
    <t>A32</t>
  </si>
  <si>
    <t>B72</t>
  </si>
  <si>
    <t>University of Brighton</t>
  </si>
  <si>
    <t>A33</t>
  </si>
  <si>
    <t>B73</t>
  </si>
  <si>
    <t>British Institute of Technology &amp; E- commerce</t>
  </si>
  <si>
    <t>A34</t>
  </si>
  <si>
    <t>B74</t>
  </si>
  <si>
    <t>Brighton and Sussex Medical School</t>
  </si>
  <si>
    <t>A35</t>
  </si>
  <si>
    <t>B77</t>
  </si>
  <si>
    <t>Bristol, City of Bristol College</t>
  </si>
  <si>
    <t>A36</t>
  </si>
  <si>
    <t>A37</t>
  </si>
  <si>
    <t>B79</t>
  </si>
  <si>
    <t>Bristol Filton College</t>
  </si>
  <si>
    <t>A38</t>
  </si>
  <si>
    <t>University of the West of England, Bristol</t>
  </si>
  <si>
    <t>A39</t>
  </si>
  <si>
    <t>B81</t>
  </si>
  <si>
    <t>British College of Osteopathic Medicine</t>
  </si>
  <si>
    <t>B83</t>
  </si>
  <si>
    <t>Brooklands College</t>
  </si>
  <si>
    <t>A41</t>
  </si>
  <si>
    <t>B84</t>
  </si>
  <si>
    <t>Brunel University</t>
  </si>
  <si>
    <t>A42</t>
  </si>
  <si>
    <t>B87</t>
  </si>
  <si>
    <t>British School of Osteopathy</t>
  </si>
  <si>
    <t>A43</t>
  </si>
  <si>
    <t>B90</t>
  </si>
  <si>
    <t>The University of Buckingham</t>
  </si>
  <si>
    <t>B92</t>
  </si>
  <si>
    <t>Brooksby Melton College</t>
  </si>
  <si>
    <t>A46</t>
  </si>
  <si>
    <t>A47</t>
  </si>
  <si>
    <t>A48</t>
  </si>
  <si>
    <t>A49</t>
  </si>
  <si>
    <t>EM</t>
  </si>
  <si>
    <t>E</t>
  </si>
  <si>
    <t>GL</t>
  </si>
  <si>
    <t>NE</t>
  </si>
  <si>
    <t>NW</t>
  </si>
  <si>
    <t>NI</t>
  </si>
  <si>
    <t>S</t>
  </si>
  <si>
    <t>SE</t>
  </si>
  <si>
    <t>SW</t>
  </si>
  <si>
    <t>W</t>
  </si>
  <si>
    <t>WM</t>
  </si>
  <si>
    <t>YH</t>
  </si>
  <si>
    <t>EM1</t>
  </si>
  <si>
    <t>EM2</t>
  </si>
  <si>
    <t>E1</t>
  </si>
  <si>
    <t>E2</t>
  </si>
  <si>
    <t>E3</t>
  </si>
  <si>
    <t>E4</t>
  </si>
  <si>
    <t>GL1</t>
  </si>
  <si>
    <t>GL2</t>
  </si>
  <si>
    <t>GL3</t>
  </si>
  <si>
    <t>GL4</t>
  </si>
  <si>
    <t>GL5</t>
  </si>
  <si>
    <t>GL6</t>
  </si>
  <si>
    <t>GL7</t>
  </si>
  <si>
    <t>GL8</t>
  </si>
  <si>
    <t>NE1</t>
  </si>
  <si>
    <t>NW1</t>
  </si>
  <si>
    <t>NW2</t>
  </si>
  <si>
    <t>NW3</t>
  </si>
  <si>
    <t>NW4</t>
  </si>
  <si>
    <t>NI1</t>
  </si>
  <si>
    <t>S1</t>
  </si>
  <si>
    <t>S2</t>
  </si>
  <si>
    <t>SE1</t>
  </si>
  <si>
    <t>SE2</t>
  </si>
  <si>
    <t>SE3</t>
  </si>
  <si>
    <t>SE4</t>
  </si>
  <si>
    <t>SE5</t>
  </si>
  <si>
    <t>SE6</t>
  </si>
  <si>
    <t>SE7</t>
  </si>
  <si>
    <t>SW1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</si>
  <si>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</si>
  <si>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</si>
  <si>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</si>
  <si>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</si>
  <si>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</si>
  <si>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</si>
  <si>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</si>
  <si>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</si>
  <si>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</si>
  <si>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</si>
  <si>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W1</t>
  </si>
  <si>
    <t>W2</t>
  </si>
  <si>
    <t>WM1</t>
  </si>
  <si>
    <t>WM2</t>
  </si>
  <si>
    <t>WM3</t>
  </si>
  <si>
    <t>WM4</t>
  </si>
  <si>
    <t>WM5</t>
  </si>
  <si>
    <t>YH1</t>
  </si>
  <si>
    <t>YH2</t>
  </si>
  <si>
    <t>YH3</t>
  </si>
  <si>
    <t>YH4</t>
  </si>
  <si>
    <t>Z99</t>
  </si>
  <si>
    <t>North East College</t>
  </si>
  <si>
    <t>DIY analysis</t>
  </si>
  <si>
    <t>Filter applications and acceptances for all subject groups by university and region</t>
  </si>
  <si>
    <t>universities and subjects</t>
  </si>
  <si>
    <t>Which subjects my students are accepted to</t>
  </si>
  <si>
    <t>Which universities/colleges your students apply to and number of acceptances</t>
  </si>
  <si>
    <t>universities</t>
  </si>
  <si>
    <t>Student characteristics broken down by age, gender, ethnicity, disability and tariff score</t>
  </si>
  <si>
    <t>A summary of applications and acceptances for your centre and UCAS</t>
  </si>
  <si>
    <t>See the applicant characteristics for your students, broken down by age, gender, ethnicity, disability and their tariff score</t>
  </si>
  <si>
    <t>Compare this with the previous year and with UCAS</t>
  </si>
  <si>
    <t>The graph shows the percentage of accepted applicants from each demographic group</t>
  </si>
  <si>
    <t>university name</t>
  </si>
  <si>
    <t>Which universities/colleges are my students accepted at?</t>
  </si>
  <si>
    <t>See which universities/colleges your students applied to and the number of acceptances</t>
  </si>
  <si>
    <t xml:space="preserve">Click the buttons below to sort and filter the data </t>
  </si>
  <si>
    <t>Click the 'back to start' button to return the data to it's original state</t>
  </si>
  <si>
    <t>Click the drop down boxes below to filter applications and acceptances for all subject groups by university and region</t>
  </si>
  <si>
    <t>&lt;&lt; Click the downward arrow on the left to select different university regions</t>
  </si>
  <si>
    <t>&lt;&lt; Click the downward arrow on the left to select different university names</t>
  </si>
  <si>
    <t>&lt;&lt; use one or more filters to drill into the data</t>
  </si>
  <si>
    <t>&lt;&lt; See the filtered results in the table</t>
  </si>
  <si>
    <t>This tool (pivot table) allows you to drill further into your choices (applications) and accepts data</t>
  </si>
  <si>
    <t>Rosehill College - accepted route</t>
  </si>
  <si>
    <t>Copyright © 2013 UCAS Media</t>
  </si>
  <si>
    <t>&gt;</t>
  </si>
  <si>
    <r>
      <t xml:space="preserve">Click on the </t>
    </r>
    <r>
      <rPr>
        <b/>
        <sz val="12"/>
        <color indexed="40"/>
        <rFont val="Calibri"/>
        <family val="2"/>
      </rPr>
      <t xml:space="preserve">&gt; </t>
    </r>
    <r>
      <rPr>
        <b/>
        <sz val="12"/>
        <rFont val="Calibri"/>
        <family val="2"/>
      </rPr>
      <t>to view the page</t>
    </r>
  </si>
  <si>
    <t>2012 - 2013</t>
  </si>
  <si>
    <t>your applicants (2013)</t>
  </si>
  <si>
    <t>all choices (2013)</t>
  </si>
  <si>
    <t>All your applicants for 2013 including final destinations</t>
  </si>
  <si>
    <t>A list of all your 2013 applications</t>
  </si>
  <si>
    <t>Pivot table of the all choices (2013) data</t>
  </si>
  <si>
    <t>this is a list of your 2013 applicants that agreed to share their data</t>
  </si>
  <si>
    <t>this is the choices and acceptances for your 2013 applicants that agreed to share their data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</si>
</sst>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£&quot;#,##0.0"/>
    <numFmt numFmtId="170" formatCode="#,##0.0"/>
    <numFmt numFmtId="171" formatCode="0.000"/>
    <numFmt numFmtId="172" formatCode="0.0%"/>
    <numFmt numFmtId="173" formatCode="0.0000"/>
  </numFmts>
  <fonts count="9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Calibri"/>
      <family val="2"/>
    </font>
    <font>
      <b/>
      <sz val="12"/>
      <color indexed="4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b/>
      <sz val="12"/>
      <color indexed="25"/>
      <name val="Calibri"/>
      <family val="2"/>
    </font>
    <font>
      <sz val="6"/>
      <name val="Calibri"/>
      <family val="2"/>
    </font>
    <font>
      <b/>
      <sz val="10"/>
      <color indexed="9"/>
      <name val="Calibri"/>
      <family val="2"/>
    </font>
    <font>
      <b/>
      <sz val="10"/>
      <color indexed="23"/>
      <name val="Calibri"/>
      <family val="2"/>
    </font>
    <font>
      <b/>
      <sz val="10"/>
      <name val="Calibri"/>
      <family val="2"/>
    </font>
    <font>
      <sz val="10"/>
      <color indexed="25"/>
      <name val="Calibri"/>
      <family val="2"/>
    </font>
    <font>
      <sz val="10"/>
      <color indexed="23"/>
      <name val="Calibri"/>
      <family val="2"/>
    </font>
    <font>
      <sz val="12"/>
      <name val="Calibri"/>
      <family val="2"/>
    </font>
    <font>
      <b/>
      <u val="single"/>
      <sz val="10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u val="single"/>
      <sz val="12"/>
      <color indexed="23"/>
      <name val="Calibri"/>
      <family val="2"/>
    </font>
    <font>
      <sz val="12"/>
      <color indexed="40"/>
      <name val="Calibri"/>
      <family val="2"/>
    </font>
    <font>
      <b/>
      <sz val="18"/>
      <color indexed="40"/>
      <name val="Calibri"/>
      <family val="2"/>
    </font>
    <font>
      <sz val="10"/>
      <color indexed="57"/>
      <name val="Calibri"/>
      <family val="2"/>
    </font>
    <font>
      <b/>
      <sz val="10"/>
      <color indexed="25"/>
      <name val="Calibri"/>
      <family val="2"/>
    </font>
    <font>
      <sz val="10"/>
      <color indexed="4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Calibri"/>
      <family val="2"/>
    </font>
    <font>
      <b/>
      <sz val="12"/>
      <color indexed="53"/>
      <name val="Calibri"/>
      <family val="2"/>
    </font>
    <font>
      <b/>
      <sz val="10"/>
      <color indexed="10"/>
      <name val="Calibri"/>
      <family val="2"/>
    </font>
    <font>
      <b/>
      <sz val="12"/>
      <color indexed="40"/>
      <name val="Arial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20"/>
      <color indexed="40"/>
      <name val="Calibri"/>
      <family val="0"/>
    </font>
    <font>
      <sz val="20"/>
      <color indexed="23"/>
      <name val="Calibri"/>
      <family val="0"/>
    </font>
    <font>
      <sz val="18"/>
      <color indexed="40"/>
      <name val="Arial"/>
      <family val="0"/>
    </font>
    <font>
      <sz val="18"/>
      <color indexed="63"/>
      <name val="Calibri"/>
      <family val="0"/>
    </font>
    <font>
      <b/>
      <sz val="10.5"/>
      <color indexed="9"/>
      <name val="Calibri"/>
      <family val="0"/>
    </font>
    <font>
      <b/>
      <sz val="18"/>
      <color indexed="50"/>
      <name val="Arial"/>
      <family val="0"/>
    </font>
    <font>
      <b/>
      <sz val="1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Calibri"/>
      <family val="2"/>
    </font>
    <font>
      <b/>
      <sz val="12"/>
      <color rgb="FFD81F2A"/>
      <name val="Calibri"/>
      <family val="2"/>
    </font>
    <font>
      <sz val="10"/>
      <color rgb="FFD81F2A"/>
      <name val="Calibri"/>
      <family val="2"/>
    </font>
    <font>
      <b/>
      <sz val="12"/>
      <color rgb="FF009FEE"/>
      <name val="Calibri"/>
      <family val="2"/>
    </font>
    <font>
      <sz val="12"/>
      <color rgb="FF009FEE"/>
      <name val="Calibri"/>
      <family val="2"/>
    </font>
    <font>
      <b/>
      <sz val="18"/>
      <color rgb="FF009FEE"/>
      <name val="Calibri"/>
      <family val="2"/>
    </font>
    <font>
      <sz val="10"/>
      <color rgb="FF6E6F64"/>
      <name val="Calibri"/>
      <family val="2"/>
    </font>
    <font>
      <b/>
      <sz val="10"/>
      <color rgb="FFD81F2A"/>
      <name val="Calibri"/>
      <family val="2"/>
    </font>
    <font>
      <sz val="10"/>
      <color rgb="FF009FEE"/>
      <name val="Calibri"/>
      <family val="2"/>
    </font>
    <font>
      <b/>
      <sz val="10"/>
      <color rgb="FFF69E00"/>
      <name val="Calibri"/>
      <family val="2"/>
    </font>
    <font>
      <sz val="10"/>
      <color theme="0"/>
      <name val="Calibri"/>
      <family val="2"/>
    </font>
    <font>
      <sz val="10"/>
      <color theme="4"/>
      <name val="Calibri"/>
      <family val="2"/>
    </font>
    <font>
      <b/>
      <sz val="10"/>
      <color theme="0"/>
      <name val="Calibri"/>
      <family val="2"/>
    </font>
    <font>
      <b/>
      <sz val="12"/>
      <color theme="3"/>
      <name val="Calibri"/>
      <family val="2"/>
    </font>
    <font>
      <b/>
      <sz val="12"/>
      <color theme="4"/>
      <name val="Calibri"/>
      <family val="2"/>
    </font>
    <font>
      <b/>
      <sz val="10"/>
      <color rgb="FFFF0000"/>
      <name val="Calibri"/>
      <family val="2"/>
    </font>
    <font>
      <b/>
      <sz val="12"/>
      <color rgb="FF009FEE"/>
      <name val="Arial"/>
      <family val="2"/>
    </font>
    <font>
      <b/>
      <sz val="10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1F2A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9FEE"/>
      </left>
      <right>
        <color indexed="63"/>
      </right>
      <top style="medium">
        <color rgb="FF009FEE"/>
      </top>
      <bottom>
        <color indexed="63"/>
      </bottom>
    </border>
    <border>
      <left>
        <color indexed="63"/>
      </left>
      <right>
        <color indexed="63"/>
      </right>
      <top style="medium">
        <color rgb="FF009FEE"/>
      </top>
      <bottom>
        <color indexed="63"/>
      </bottom>
    </border>
    <border>
      <left>
        <color indexed="63"/>
      </left>
      <right style="medium">
        <color rgb="FF009FEE"/>
      </right>
      <top style="medium">
        <color rgb="FF009FEE"/>
      </top>
      <bottom>
        <color indexed="63"/>
      </bottom>
    </border>
    <border>
      <left style="medium">
        <color rgb="FF009FE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9FEE"/>
      </right>
      <top>
        <color indexed="63"/>
      </top>
      <bottom>
        <color indexed="63"/>
      </bottom>
    </border>
    <border>
      <left style="medium">
        <color rgb="FF009FEE"/>
      </left>
      <right>
        <color indexed="63"/>
      </right>
      <top>
        <color indexed="63"/>
      </top>
      <bottom style="medium">
        <color rgb="FF009FEE"/>
      </bottom>
    </border>
    <border>
      <left>
        <color indexed="63"/>
      </left>
      <right>
        <color indexed="63"/>
      </right>
      <top>
        <color indexed="63"/>
      </top>
      <bottom style="medium">
        <color rgb="FF009FEE"/>
      </bottom>
    </border>
    <border>
      <left>
        <color indexed="63"/>
      </left>
      <right style="medium">
        <color rgb="FF009FEE"/>
      </right>
      <top>
        <color indexed="63"/>
      </top>
      <bottom style="medium">
        <color rgb="FF009FEE"/>
      </bottom>
    </border>
    <border>
      <left style="thin">
        <color rgb="FF009FEE"/>
      </left>
      <right>
        <color indexed="63"/>
      </right>
      <top style="thin">
        <color rgb="FF009FEE"/>
      </top>
      <bottom>
        <color indexed="63"/>
      </bottom>
    </border>
    <border>
      <left>
        <color indexed="63"/>
      </left>
      <right>
        <color indexed="63"/>
      </right>
      <top style="thin">
        <color rgb="FF009FEE"/>
      </top>
      <bottom>
        <color indexed="63"/>
      </bottom>
    </border>
    <border>
      <left>
        <color indexed="63"/>
      </left>
      <right style="thin">
        <color rgb="FF009FEE"/>
      </right>
      <top style="thin">
        <color rgb="FF009FEE"/>
      </top>
      <bottom>
        <color indexed="63"/>
      </bottom>
    </border>
    <border>
      <left style="thin">
        <color rgb="FF009FE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9FEE"/>
      </right>
      <top>
        <color indexed="63"/>
      </top>
      <bottom>
        <color indexed="63"/>
      </bottom>
    </border>
    <border>
      <left style="thin">
        <color rgb="FF009FEE"/>
      </left>
      <right>
        <color indexed="63"/>
      </right>
      <top>
        <color indexed="63"/>
      </top>
      <bottom style="thin">
        <color rgb="FF009FEE"/>
      </bottom>
    </border>
    <border>
      <left>
        <color indexed="63"/>
      </left>
      <right>
        <color indexed="63"/>
      </right>
      <top>
        <color indexed="63"/>
      </top>
      <bottom style="thin">
        <color rgb="FF009FEE"/>
      </bottom>
    </border>
    <border>
      <left>
        <color indexed="63"/>
      </left>
      <right style="thin">
        <color rgb="FF009FEE"/>
      </right>
      <top>
        <color indexed="63"/>
      </top>
      <bottom style="thin">
        <color rgb="FF009FEE"/>
      </bottom>
    </border>
    <border>
      <left style="thin">
        <color rgb="FF009FEE"/>
      </left>
      <right style="thin">
        <color rgb="FF009FEE"/>
      </right>
      <top style="thin">
        <color rgb="FF009FEE"/>
      </top>
      <bottom>
        <color indexed="63"/>
      </bottom>
    </border>
    <border>
      <left style="thin">
        <color rgb="FF009FEE"/>
      </left>
      <right style="thin">
        <color rgb="FF009FEE"/>
      </right>
      <top>
        <color indexed="63"/>
      </top>
      <bottom>
        <color indexed="63"/>
      </bottom>
    </border>
    <border>
      <left style="thin">
        <color rgb="FF009FEE"/>
      </left>
      <right style="thin">
        <color rgb="FF009FEE"/>
      </right>
      <top>
        <color indexed="63"/>
      </top>
      <bottom style="thin">
        <color rgb="FF009FEE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9FEE"/>
      </left>
      <right>
        <color indexed="63"/>
      </right>
      <top style="thin">
        <color rgb="FF009FEE"/>
      </top>
      <bottom style="thin">
        <color rgb="FF009FEE"/>
      </bottom>
    </border>
    <border>
      <left>
        <color indexed="63"/>
      </left>
      <right>
        <color indexed="63"/>
      </right>
      <top style="thin">
        <color rgb="FF009FEE"/>
      </top>
      <bottom style="thin">
        <color rgb="FF009FEE"/>
      </bottom>
    </border>
    <border>
      <left>
        <color indexed="63"/>
      </left>
      <right style="thin">
        <color rgb="FF009FEE"/>
      </right>
      <top style="thin">
        <color rgb="FF009FEE"/>
      </top>
      <bottom style="thin">
        <color rgb="FF009FEE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8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1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31" fillId="0" borderId="0" xfId="58" applyFont="1" applyFill="1" applyAlignment="1">
      <alignment horizontal="right"/>
      <protection/>
    </xf>
    <xf numFmtId="0" fontId="81" fillId="0" borderId="0" xfId="0" applyFont="1" applyAlignment="1">
      <alignment horizontal="right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82" fillId="0" borderId="0" xfId="58" applyFont="1" applyFill="1" applyBorder="1">
      <alignment/>
      <protection/>
    </xf>
    <xf numFmtId="0" fontId="3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84" fillId="0" borderId="0" xfId="58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right" indent="1"/>
    </xf>
    <xf numFmtId="0" fontId="87" fillId="0" borderId="0" xfId="0" applyFont="1" applyFill="1" applyAlignment="1">
      <alignment/>
    </xf>
    <xf numFmtId="3" fontId="29" fillId="0" borderId="0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3" fontId="29" fillId="0" borderId="19" xfId="0" applyNumberFormat="1" applyFont="1" applyFill="1" applyBorder="1" applyAlignment="1" applyProtection="1">
      <alignment/>
      <protection locked="0"/>
    </xf>
    <xf numFmtId="0" fontId="34" fillId="0" borderId="2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3" fontId="29" fillId="0" borderId="24" xfId="0" applyNumberFormat="1" applyFont="1" applyFill="1" applyBorder="1" applyAlignment="1" applyProtection="1">
      <alignment/>
      <protection locked="0"/>
    </xf>
    <xf numFmtId="0" fontId="88" fillId="0" borderId="24" xfId="0" applyFont="1" applyFill="1" applyBorder="1" applyAlignment="1">
      <alignment horizontal="right"/>
    </xf>
    <xf numFmtId="0" fontId="34" fillId="0" borderId="25" xfId="0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0" fontId="34" fillId="0" borderId="20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3" fontId="29" fillId="0" borderId="24" xfId="0" applyNumberFormat="1" applyFont="1" applyFill="1" applyBorder="1" applyAlignment="1">
      <alignment/>
    </xf>
    <xf numFmtId="0" fontId="34" fillId="0" borderId="25" xfId="0" applyFont="1" applyFill="1" applyBorder="1" applyAlignment="1">
      <alignment horizontal="left"/>
    </xf>
    <xf numFmtId="0" fontId="32" fillId="33" borderId="23" xfId="0" applyFont="1" applyFill="1" applyBorder="1" applyAlignment="1">
      <alignment/>
    </xf>
    <xf numFmtId="0" fontId="32" fillId="33" borderId="24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90" fillId="0" borderId="19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right"/>
    </xf>
    <xf numFmtId="0" fontId="90" fillId="0" borderId="24" xfId="0" applyFont="1" applyFill="1" applyBorder="1" applyAlignment="1">
      <alignment horizontal="right"/>
    </xf>
    <xf numFmtId="168" fontId="29" fillId="0" borderId="0" xfId="0" applyNumberFormat="1" applyFont="1" applyFill="1" applyAlignment="1">
      <alignment/>
    </xf>
    <xf numFmtId="168" fontId="29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/>
    </xf>
    <xf numFmtId="9" fontId="36" fillId="0" borderId="0" xfId="6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9" fontId="29" fillId="0" borderId="0" xfId="61" applyFont="1" applyFill="1" applyBorder="1" applyAlignment="1">
      <alignment/>
    </xf>
    <xf numFmtId="168" fontId="29" fillId="0" borderId="11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168" fontId="29" fillId="0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34" fillId="0" borderId="26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168" fontId="34" fillId="0" borderId="20" xfId="0" applyNumberFormat="1" applyFont="1" applyFill="1" applyBorder="1" applyAlignment="1">
      <alignment/>
    </xf>
    <xf numFmtId="3" fontId="29" fillId="0" borderId="21" xfId="0" applyNumberFormat="1" applyFont="1" applyFill="1" applyBorder="1" applyAlignment="1" applyProtection="1">
      <alignment/>
      <protection locked="0"/>
    </xf>
    <xf numFmtId="172" fontId="29" fillId="0" borderId="22" xfId="61" applyNumberFormat="1" applyFont="1" applyFill="1" applyBorder="1" applyAlignment="1">
      <alignment/>
    </xf>
    <xf numFmtId="3" fontId="29" fillId="0" borderId="23" xfId="0" applyNumberFormat="1" applyFont="1" applyFill="1" applyBorder="1" applyAlignment="1" applyProtection="1">
      <alignment/>
      <protection locked="0"/>
    </xf>
    <xf numFmtId="172" fontId="29" fillId="0" borderId="25" xfId="61" applyNumberFormat="1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168" fontId="29" fillId="0" borderId="22" xfId="0" applyNumberFormat="1" applyFont="1" applyFill="1" applyBorder="1" applyAlignment="1">
      <alignment/>
    </xf>
    <xf numFmtId="0" fontId="29" fillId="0" borderId="24" xfId="0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0" fontId="29" fillId="0" borderId="0" xfId="0" applyFont="1" applyAlignment="1">
      <alignment/>
    </xf>
    <xf numFmtId="168" fontId="29" fillId="0" borderId="0" xfId="0" applyNumberFormat="1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168" fontId="29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91" fillId="0" borderId="0" xfId="0" applyFont="1" applyFill="1" applyBorder="1" applyAlignment="1">
      <alignment/>
    </xf>
    <xf numFmtId="1" fontId="91" fillId="0" borderId="0" xfId="0" applyNumberFormat="1" applyFont="1" applyFill="1" applyAlignment="1">
      <alignment/>
    </xf>
    <xf numFmtId="0" fontId="94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3" fontId="87" fillId="0" borderId="0" xfId="0" applyNumberFormat="1" applyFont="1" applyFill="1" applyBorder="1" applyAlignment="1">
      <alignment/>
    </xf>
    <xf numFmtId="168" fontId="91" fillId="0" borderId="0" xfId="0" applyNumberFormat="1" applyFont="1" applyBorder="1" applyAlignment="1">
      <alignment/>
    </xf>
    <xf numFmtId="0" fontId="32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 applyProtection="1">
      <alignment vertical="center"/>
      <protection locked="0"/>
    </xf>
    <xf numFmtId="168" fontId="32" fillId="35" borderId="0" xfId="0" applyNumberFormat="1" applyFont="1" applyFill="1" applyBorder="1" applyAlignment="1">
      <alignment vertical="center"/>
    </xf>
    <xf numFmtId="0" fontId="32" fillId="35" borderId="0" xfId="0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3" fontId="29" fillId="0" borderId="0" xfId="0" applyNumberFormat="1" applyFont="1" applyBorder="1" applyAlignment="1" applyProtection="1">
      <alignment horizontal="right"/>
      <protection locked="0"/>
    </xf>
    <xf numFmtId="172" fontId="29" fillId="0" borderId="0" xfId="61" applyNumberFormat="1" applyFont="1" applyBorder="1" applyAlignment="1" applyProtection="1">
      <alignment horizontal="right"/>
      <protection locked="0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168" fontId="29" fillId="0" borderId="11" xfId="0" applyNumberFormat="1" applyFont="1" applyBorder="1" applyAlignment="1">
      <alignment/>
    </xf>
    <xf numFmtId="0" fontId="91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91" fillId="0" borderId="14" xfId="0" applyFont="1" applyBorder="1" applyAlignment="1">
      <alignment/>
    </xf>
    <xf numFmtId="0" fontId="94" fillId="0" borderId="0" xfId="0" applyFont="1" applyBorder="1" applyAlignment="1">
      <alignment/>
    </xf>
    <xf numFmtId="0" fontId="95" fillId="34" borderId="0" xfId="0" applyFont="1" applyFill="1" applyBorder="1" applyAlignment="1">
      <alignment/>
    </xf>
    <xf numFmtId="168" fontId="91" fillId="34" borderId="0" xfId="0" applyNumberFormat="1" applyFont="1" applyFill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168" fontId="29" fillId="0" borderId="16" xfId="0" applyNumberFormat="1" applyFont="1" applyBorder="1" applyAlignment="1">
      <alignment/>
    </xf>
    <xf numFmtId="0" fontId="91" fillId="0" borderId="17" xfId="0" applyFont="1" applyBorder="1" applyAlignment="1">
      <alignment/>
    </xf>
    <xf numFmtId="0" fontId="96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 applyProtection="1">
      <alignment vertical="center"/>
      <protection locked="0"/>
    </xf>
    <xf numFmtId="168" fontId="32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29" fillId="0" borderId="18" xfId="0" applyFont="1" applyFill="1" applyBorder="1" applyAlignment="1" applyProtection="1">
      <alignment/>
      <protection locked="0"/>
    </xf>
    <xf numFmtId="172" fontId="29" fillId="0" borderId="19" xfId="61" applyNumberFormat="1" applyFont="1" applyBorder="1" applyAlignment="1" applyProtection="1">
      <alignment horizontal="right"/>
      <protection locked="0"/>
    </xf>
    <xf numFmtId="172" fontId="29" fillId="0" borderId="20" xfId="61" applyNumberFormat="1" applyFont="1" applyBorder="1" applyAlignment="1" applyProtection="1">
      <alignment horizontal="right"/>
      <protection locked="0"/>
    </xf>
    <xf numFmtId="0" fontId="29" fillId="0" borderId="21" xfId="0" applyFont="1" applyFill="1" applyBorder="1" applyAlignment="1" applyProtection="1">
      <alignment/>
      <protection locked="0"/>
    </xf>
    <xf numFmtId="172" fontId="29" fillId="0" borderId="22" xfId="61" applyNumberFormat="1" applyFont="1" applyBorder="1" applyAlignment="1" applyProtection="1">
      <alignment horizontal="right"/>
      <protection locked="0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172" fontId="29" fillId="0" borderId="24" xfId="61" applyNumberFormat="1" applyFont="1" applyBorder="1" applyAlignment="1">
      <alignment/>
    </xf>
    <xf numFmtId="172" fontId="29" fillId="0" borderId="25" xfId="61" applyNumberFormat="1" applyFont="1" applyBorder="1" applyAlignment="1">
      <alignment/>
    </xf>
    <xf numFmtId="0" fontId="97" fillId="0" borderId="0" xfId="0" applyFont="1" applyFill="1" applyAlignment="1">
      <alignment/>
    </xf>
    <xf numFmtId="0" fontId="29" fillId="0" borderId="0" xfId="57" applyFont="1" applyFill="1">
      <alignment/>
      <protection/>
    </xf>
    <xf numFmtId="0" fontId="91" fillId="0" borderId="0" xfId="57" applyFont="1" applyFill="1">
      <alignment/>
      <protection/>
    </xf>
    <xf numFmtId="2" fontId="29" fillId="0" borderId="0" xfId="57" applyNumberFormat="1" applyFont="1" applyFill="1">
      <alignment/>
      <protection/>
    </xf>
    <xf numFmtId="0" fontId="91" fillId="0" borderId="0" xfId="57" applyFont="1" applyFill="1" applyProtection="1">
      <alignment/>
      <protection locked="0"/>
    </xf>
    <xf numFmtId="0" fontId="91" fillId="0" borderId="0" xfId="57" applyFont="1" applyBorder="1" applyProtection="1">
      <alignment/>
      <protection/>
    </xf>
    <xf numFmtId="0" fontId="91" fillId="0" borderId="0" xfId="57" applyFont="1" applyFill="1" applyProtection="1">
      <alignment/>
      <protection/>
    </xf>
    <xf numFmtId="0" fontId="91" fillId="0" borderId="0" xfId="57" applyFont="1" applyFill="1" applyBorder="1" applyProtection="1">
      <alignment/>
      <protection/>
    </xf>
    <xf numFmtId="0" fontId="92" fillId="0" borderId="0" xfId="57" applyFont="1" applyFill="1">
      <alignment/>
      <protection/>
    </xf>
    <xf numFmtId="0" fontId="88" fillId="0" borderId="0" xfId="57" applyFont="1" applyFill="1">
      <alignment/>
      <protection/>
    </xf>
    <xf numFmtId="0" fontId="53" fillId="0" borderId="0" xfId="57" applyFont="1" applyFill="1">
      <alignment/>
      <protection/>
    </xf>
    <xf numFmtId="0" fontId="91" fillId="0" borderId="0" xfId="57" applyFont="1" applyProtection="1">
      <alignment/>
      <protection/>
    </xf>
    <xf numFmtId="0" fontId="91" fillId="0" borderId="0" xfId="57" applyFont="1" applyProtection="1">
      <alignment/>
      <protection locked="0"/>
    </xf>
    <xf numFmtId="0" fontId="91" fillId="0" borderId="0" xfId="57" applyFont="1">
      <alignment/>
      <protection/>
    </xf>
    <xf numFmtId="0" fontId="29" fillId="0" borderId="0" xfId="57" applyFont="1" applyFill="1" quotePrefix="1">
      <alignment/>
      <protection/>
    </xf>
    <xf numFmtId="0" fontId="91" fillId="0" borderId="0" xfId="0" applyFont="1" applyFill="1" applyAlignment="1" applyProtection="1">
      <alignment/>
      <protection locked="0"/>
    </xf>
    <xf numFmtId="0" fontId="34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2" fontId="29" fillId="0" borderId="0" xfId="57" applyNumberFormat="1" applyFont="1" applyFill="1" applyBorder="1">
      <alignment/>
      <protection/>
    </xf>
    <xf numFmtId="0" fontId="33" fillId="0" borderId="0" xfId="57" applyFont="1" applyFill="1" applyBorder="1">
      <alignment/>
      <protection/>
    </xf>
    <xf numFmtId="0" fontId="29" fillId="0" borderId="0" xfId="57" applyFont="1" applyFill="1" applyBorder="1" quotePrefix="1">
      <alignment/>
      <protection/>
    </xf>
    <xf numFmtId="0" fontId="34" fillId="0" borderId="0" xfId="57" applyFont="1" applyFill="1">
      <alignment/>
      <protection/>
    </xf>
    <xf numFmtId="0" fontId="93" fillId="0" borderId="0" xfId="57" applyFont="1" applyFill="1" applyProtection="1">
      <alignment/>
      <protection locked="0"/>
    </xf>
    <xf numFmtId="0" fontId="93" fillId="0" borderId="0" xfId="57" applyFont="1" applyFill="1" applyProtection="1">
      <alignment/>
      <protection/>
    </xf>
    <xf numFmtId="0" fontId="93" fillId="0" borderId="0" xfId="57" applyFont="1" applyFill="1">
      <alignment/>
      <protection/>
    </xf>
    <xf numFmtId="0" fontId="98" fillId="0" borderId="0" xfId="57" applyFont="1" applyFill="1">
      <alignment/>
      <protection/>
    </xf>
    <xf numFmtId="3" fontId="29" fillId="0" borderId="0" xfId="57" applyNumberFormat="1" applyFont="1" applyFill="1" applyBorder="1" applyProtection="1">
      <alignment/>
      <protection locked="0"/>
    </xf>
    <xf numFmtId="172" fontId="29" fillId="0" borderId="0" xfId="62" applyNumberFormat="1" applyFont="1" applyFill="1" applyBorder="1" applyAlignment="1" applyProtection="1">
      <alignment/>
      <protection locked="0"/>
    </xf>
    <xf numFmtId="0" fontId="51" fillId="0" borderId="0" xfId="57" applyFont="1" applyFill="1">
      <alignment/>
      <protection/>
    </xf>
    <xf numFmtId="0" fontId="33" fillId="0" borderId="0" xfId="57" applyFont="1" applyFill="1">
      <alignment/>
      <protection/>
    </xf>
    <xf numFmtId="2" fontId="33" fillId="0" borderId="0" xfId="57" applyNumberFormat="1" applyFont="1" applyFill="1">
      <alignment/>
      <protection/>
    </xf>
    <xf numFmtId="2" fontId="92" fillId="0" borderId="0" xfId="57" applyNumberFormat="1" applyFont="1" applyFill="1">
      <alignment/>
      <protection/>
    </xf>
    <xf numFmtId="2" fontId="98" fillId="0" borderId="0" xfId="57" applyNumberFormat="1" applyFont="1" applyFill="1">
      <alignment/>
      <protection/>
    </xf>
    <xf numFmtId="2" fontId="34" fillId="0" borderId="0" xfId="57" applyNumberFormat="1" applyFont="1" applyFill="1">
      <alignment/>
      <protection/>
    </xf>
    <xf numFmtId="2" fontId="29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2" fontId="29" fillId="0" borderId="11" xfId="0" applyNumberFormat="1" applyFont="1" applyFill="1" applyBorder="1" applyAlignment="1">
      <alignment/>
    </xf>
    <xf numFmtId="0" fontId="91" fillId="0" borderId="12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91" fillId="0" borderId="14" xfId="0" applyFont="1" applyFill="1" applyBorder="1" applyAlignment="1">
      <alignment/>
    </xf>
    <xf numFmtId="0" fontId="93" fillId="33" borderId="0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/>
    </xf>
    <xf numFmtId="3" fontId="34" fillId="0" borderId="19" xfId="0" applyNumberFormat="1" applyFont="1" applyFill="1" applyBorder="1" applyAlignment="1" applyProtection="1">
      <alignment/>
      <protection locked="0"/>
    </xf>
    <xf numFmtId="172" fontId="34" fillId="0" borderId="19" xfId="61" applyNumberFormat="1" applyFont="1" applyFill="1" applyBorder="1" applyAlignment="1" applyProtection="1">
      <alignment/>
      <protection locked="0"/>
    </xf>
    <xf numFmtId="172" fontId="34" fillId="0" borderId="20" xfId="61" applyNumberFormat="1" applyFont="1" applyFill="1" applyBorder="1" applyAlignment="1" applyProtection="1">
      <alignment/>
      <protection locked="0"/>
    </xf>
    <xf numFmtId="0" fontId="93" fillId="0" borderId="14" xfId="0" applyFont="1" applyFill="1" applyBorder="1" applyAlignment="1">
      <alignment/>
    </xf>
    <xf numFmtId="0" fontId="93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34" fillId="0" borderId="0" xfId="0" applyFont="1" applyFill="1" applyAlignment="1">
      <alignment/>
    </xf>
    <xf numFmtId="172" fontId="29" fillId="0" borderId="0" xfId="61" applyNumberFormat="1" applyFont="1" applyFill="1" applyBorder="1" applyAlignment="1" applyProtection="1">
      <alignment/>
      <protection locked="0"/>
    </xf>
    <xf numFmtId="172" fontId="29" fillId="0" borderId="22" xfId="61" applyNumberFormat="1" applyFont="1" applyFill="1" applyBorder="1" applyAlignment="1" applyProtection="1">
      <alignment/>
      <protection locked="0"/>
    </xf>
    <xf numFmtId="0" fontId="34" fillId="0" borderId="21" xfId="0" applyFont="1" applyFill="1" applyBorder="1" applyAlignment="1">
      <alignment/>
    </xf>
    <xf numFmtId="3" fontId="34" fillId="0" borderId="0" xfId="0" applyNumberFormat="1" applyFont="1" applyFill="1" applyBorder="1" applyAlignment="1" applyProtection="1">
      <alignment/>
      <protection locked="0"/>
    </xf>
    <xf numFmtId="172" fontId="34" fillId="0" borderId="0" xfId="61" applyNumberFormat="1" applyFont="1" applyFill="1" applyBorder="1" applyAlignment="1" applyProtection="1">
      <alignment/>
      <protection locked="0"/>
    </xf>
    <xf numFmtId="172" fontId="34" fillId="0" borderId="22" xfId="61" applyNumberFormat="1" applyFont="1" applyFill="1" applyBorder="1" applyAlignment="1" applyProtection="1">
      <alignment/>
      <protection locked="0"/>
    </xf>
    <xf numFmtId="0" fontId="93" fillId="0" borderId="0" xfId="0" applyFont="1" applyFill="1" applyBorder="1" applyAlignment="1">
      <alignment/>
    </xf>
    <xf numFmtId="172" fontId="29" fillId="0" borderId="24" xfId="61" applyNumberFormat="1" applyFont="1" applyFill="1" applyBorder="1" applyAlignment="1" applyProtection="1">
      <alignment/>
      <protection locked="0"/>
    </xf>
    <xf numFmtId="172" fontId="29" fillId="0" borderId="25" xfId="61" applyNumberFormat="1" applyFont="1" applyFill="1" applyBorder="1" applyAlignment="1" applyProtection="1">
      <alignment/>
      <protection locked="0"/>
    </xf>
    <xf numFmtId="2" fontId="29" fillId="0" borderId="16" xfId="0" applyNumberFormat="1" applyFont="1" applyFill="1" applyBorder="1" applyAlignment="1">
      <alignment/>
    </xf>
    <xf numFmtId="0" fontId="91" fillId="0" borderId="17" xfId="0" applyFont="1" applyFill="1" applyBorder="1" applyAlignment="1">
      <alignment/>
    </xf>
    <xf numFmtId="0" fontId="53" fillId="0" borderId="10" xfId="57" applyFont="1" applyFill="1" applyBorder="1">
      <alignment/>
      <protection/>
    </xf>
    <xf numFmtId="0" fontId="29" fillId="0" borderId="11" xfId="57" applyFont="1" applyFill="1" applyBorder="1">
      <alignment/>
      <protection/>
    </xf>
    <xf numFmtId="2" fontId="29" fillId="0" borderId="11" xfId="57" applyNumberFormat="1" applyFont="1" applyFill="1" applyBorder="1">
      <alignment/>
      <protection/>
    </xf>
    <xf numFmtId="0" fontId="29" fillId="0" borderId="12" xfId="57" applyFont="1" applyFill="1" applyBorder="1">
      <alignment/>
      <protection/>
    </xf>
    <xf numFmtId="0" fontId="53" fillId="0" borderId="13" xfId="57" applyFont="1" applyFill="1" applyBorder="1">
      <alignment/>
      <protection/>
    </xf>
    <xf numFmtId="0" fontId="29" fillId="0" borderId="14" xfId="57" applyFont="1" applyFill="1" applyBorder="1">
      <alignment/>
      <protection/>
    </xf>
    <xf numFmtId="0" fontId="87" fillId="0" borderId="0" xfId="57" applyFont="1" applyFill="1" applyBorder="1">
      <alignment/>
      <protection/>
    </xf>
    <xf numFmtId="0" fontId="91" fillId="0" borderId="13" xfId="57" applyFont="1" applyFill="1" applyBorder="1" applyProtection="1">
      <alignment/>
      <protection locked="0"/>
    </xf>
    <xf numFmtId="0" fontId="92" fillId="0" borderId="13" xfId="57" applyFont="1" applyFill="1" applyBorder="1" applyProtection="1">
      <alignment/>
      <protection locked="0"/>
    </xf>
    <xf numFmtId="0" fontId="49" fillId="0" borderId="13" xfId="57" applyFont="1" applyFill="1" applyBorder="1" applyProtection="1">
      <alignment/>
      <protection locked="0"/>
    </xf>
    <xf numFmtId="0" fontId="49" fillId="0" borderId="13" xfId="57" applyFont="1" applyFill="1" applyBorder="1">
      <alignment/>
      <protection/>
    </xf>
    <xf numFmtId="0" fontId="51" fillId="0" borderId="13" xfId="57" applyFont="1" applyFill="1" applyBorder="1">
      <alignment/>
      <protection/>
    </xf>
    <xf numFmtId="0" fontId="34" fillId="0" borderId="14" xfId="57" applyFont="1" applyFill="1" applyBorder="1">
      <alignment/>
      <protection/>
    </xf>
    <xf numFmtId="0" fontId="53" fillId="0" borderId="15" xfId="57" applyFont="1" applyFill="1" applyBorder="1">
      <alignment/>
      <protection/>
    </xf>
    <xf numFmtId="0" fontId="36" fillId="0" borderId="16" xfId="57" applyFont="1" applyFill="1" applyBorder="1">
      <alignment/>
      <protection/>
    </xf>
    <xf numFmtId="2" fontId="36" fillId="0" borderId="16" xfId="57" applyNumberFormat="1" applyFont="1" applyFill="1" applyBorder="1">
      <alignment/>
      <protection/>
    </xf>
    <xf numFmtId="0" fontId="34" fillId="0" borderId="17" xfId="57" applyFont="1" applyFill="1" applyBorder="1">
      <alignment/>
      <protection/>
    </xf>
    <xf numFmtId="0" fontId="32" fillId="33" borderId="0" xfId="57" applyFont="1" applyFill="1" applyBorder="1" applyProtection="1">
      <alignment/>
      <protection locked="0"/>
    </xf>
    <xf numFmtId="0" fontId="32" fillId="33" borderId="0" xfId="57" applyFont="1" applyFill="1" applyBorder="1" applyAlignment="1" applyProtection="1">
      <alignment horizontal="center" wrapText="1"/>
      <protection locked="0"/>
    </xf>
    <xf numFmtId="0" fontId="89" fillId="0" borderId="0" xfId="57" applyFont="1" applyFill="1" applyBorder="1">
      <alignment/>
      <protection/>
    </xf>
    <xf numFmtId="0" fontId="29" fillId="0" borderId="18" xfId="57" applyFont="1" applyFill="1" applyBorder="1">
      <alignment/>
      <protection/>
    </xf>
    <xf numFmtId="0" fontId="34" fillId="0" borderId="20" xfId="57" applyFont="1" applyFill="1" applyBorder="1">
      <alignment/>
      <protection/>
    </xf>
    <xf numFmtId="0" fontId="29" fillId="0" borderId="21" xfId="57" applyFont="1" applyFill="1" applyBorder="1">
      <alignment/>
      <protection/>
    </xf>
    <xf numFmtId="0" fontId="29" fillId="0" borderId="22" xfId="57" applyFont="1" applyFill="1" applyBorder="1">
      <alignment/>
      <protection/>
    </xf>
    <xf numFmtId="0" fontId="34" fillId="0" borderId="22" xfId="57" applyFont="1" applyFill="1" applyBorder="1">
      <alignment/>
      <protection/>
    </xf>
    <xf numFmtId="0" fontId="34" fillId="0" borderId="23" xfId="57" applyFont="1" applyFill="1" applyBorder="1">
      <alignment/>
      <protection/>
    </xf>
    <xf numFmtId="0" fontId="34" fillId="0" borderId="25" xfId="57" applyFont="1" applyFill="1" applyBorder="1">
      <alignment/>
      <protection/>
    </xf>
    <xf numFmtId="3" fontId="29" fillId="0" borderId="18" xfId="57" applyNumberFormat="1" applyFont="1" applyFill="1" applyBorder="1" applyProtection="1">
      <alignment/>
      <protection locked="0"/>
    </xf>
    <xf numFmtId="3" fontId="29" fillId="0" borderId="19" xfId="57" applyNumberFormat="1" applyFont="1" applyFill="1" applyBorder="1" applyProtection="1">
      <alignment/>
      <protection locked="0"/>
    </xf>
    <xf numFmtId="172" fontId="29" fillId="0" borderId="19" xfId="62" applyNumberFormat="1" applyFont="1" applyFill="1" applyBorder="1" applyAlignment="1" applyProtection="1">
      <alignment/>
      <protection locked="0"/>
    </xf>
    <xf numFmtId="172" fontId="29" fillId="0" borderId="20" xfId="62" applyNumberFormat="1" applyFont="1" applyFill="1" applyBorder="1" applyAlignment="1" applyProtection="1">
      <alignment/>
      <protection locked="0"/>
    </xf>
    <xf numFmtId="3" fontId="29" fillId="0" borderId="21" xfId="57" applyNumberFormat="1" applyFont="1" applyFill="1" applyBorder="1" applyProtection="1">
      <alignment/>
      <protection locked="0"/>
    </xf>
    <xf numFmtId="172" fontId="29" fillId="0" borderId="22" xfId="62" applyNumberFormat="1" applyFont="1" applyFill="1" applyBorder="1" applyAlignment="1" applyProtection="1">
      <alignment/>
      <protection locked="0"/>
    </xf>
    <xf numFmtId="3" fontId="34" fillId="0" borderId="23" xfId="57" applyNumberFormat="1" applyFont="1" applyFill="1" applyBorder="1" applyProtection="1">
      <alignment/>
      <protection locked="0"/>
    </xf>
    <xf numFmtId="3" fontId="34" fillId="0" borderId="24" xfId="57" applyNumberFormat="1" applyFont="1" applyFill="1" applyBorder="1" applyProtection="1">
      <alignment/>
      <protection locked="0"/>
    </xf>
    <xf numFmtId="172" fontId="34" fillId="0" borderId="24" xfId="62" applyNumberFormat="1" applyFont="1" applyFill="1" applyBorder="1" applyAlignment="1" applyProtection="1">
      <alignment/>
      <protection locked="0"/>
    </xf>
    <xf numFmtId="172" fontId="34" fillId="0" borderId="25" xfId="62" applyNumberFormat="1" applyFont="1" applyFill="1" applyBorder="1" applyAlignment="1" applyProtection="1">
      <alignment/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/>
      <protection locked="0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right"/>
    </xf>
    <xf numFmtId="0" fontId="29" fillId="0" borderId="29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0" xfId="0" applyNumberFormat="1" applyFont="1" applyBorder="1" applyAlignment="1">
      <alignment/>
    </xf>
    <xf numFmtId="0" fontId="29" fillId="0" borderId="33" xfId="0" applyNumberFormat="1" applyFont="1" applyBorder="1" applyAlignment="1">
      <alignment/>
    </xf>
    <xf numFmtId="0" fontId="29" fillId="0" borderId="34" xfId="0" applyNumberFormat="1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NumberFormat="1" applyFont="1" applyBorder="1" applyAlignment="1">
      <alignment/>
    </xf>
    <xf numFmtId="0" fontId="29" fillId="0" borderId="0" xfId="0" applyNumberFormat="1" applyFont="1" applyAlignment="1">
      <alignment/>
    </xf>
    <xf numFmtId="0" fontId="29" fillId="0" borderId="36" xfId="0" applyNumberFormat="1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NumberFormat="1" applyFont="1" applyBorder="1" applyAlignment="1">
      <alignment/>
    </xf>
    <xf numFmtId="0" fontId="29" fillId="0" borderId="38" xfId="0" applyNumberFormat="1" applyFont="1" applyBorder="1" applyAlignment="1">
      <alignment/>
    </xf>
    <xf numFmtId="0" fontId="29" fillId="0" borderId="39" xfId="0" applyNumberFormat="1" applyFont="1" applyBorder="1" applyAlignment="1">
      <alignment/>
    </xf>
    <xf numFmtId="0" fontId="89" fillId="0" borderId="0" xfId="53" applyFont="1" applyFill="1" applyBorder="1" applyAlignment="1" applyProtection="1">
      <alignment/>
      <protection/>
    </xf>
    <xf numFmtId="0" fontId="89" fillId="0" borderId="0" xfId="0" applyFont="1" applyAlignment="1">
      <alignment/>
    </xf>
    <xf numFmtId="0" fontId="29" fillId="0" borderId="19" xfId="0" applyFont="1" applyFill="1" applyBorder="1" applyAlignment="1">
      <alignment/>
    </xf>
    <xf numFmtId="3" fontId="29" fillId="0" borderId="19" xfId="0" applyNumberFormat="1" applyFont="1" applyBorder="1" applyAlignment="1" applyProtection="1">
      <alignment horizontal="right"/>
      <protection locked="0"/>
    </xf>
    <xf numFmtId="0" fontId="32" fillId="33" borderId="40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0" fontId="32" fillId="33" borderId="42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left"/>
    </xf>
    <xf numFmtId="0" fontId="34" fillId="0" borderId="25" xfId="0" applyFont="1" applyFill="1" applyBorder="1" applyAlignment="1">
      <alignment horizontal="left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172" fontId="29" fillId="0" borderId="19" xfId="61" applyNumberFormat="1" applyFont="1" applyFill="1" applyBorder="1" applyAlignment="1">
      <alignment horizontal="right" vertical="center"/>
    </xf>
    <xf numFmtId="172" fontId="29" fillId="0" borderId="24" xfId="61" applyNumberFormat="1" applyFont="1" applyFill="1" applyBorder="1" applyAlignment="1">
      <alignment horizontal="right" vertical="center"/>
    </xf>
    <xf numFmtId="0" fontId="90" fillId="0" borderId="19" xfId="0" applyFont="1" applyFill="1" applyBorder="1" applyAlignment="1">
      <alignment horizontal="right" vertical="center"/>
    </xf>
    <xf numFmtId="0" fontId="90" fillId="0" borderId="24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left" vertical="center"/>
    </xf>
    <xf numFmtId="0" fontId="90" fillId="0" borderId="2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172" fontId="29" fillId="0" borderId="19" xfId="61" applyNumberFormat="1" applyFont="1" applyFill="1" applyBorder="1" applyAlignment="1">
      <alignment horizontal="right" vertical="center" wrapText="1"/>
    </xf>
    <xf numFmtId="172" fontId="29" fillId="0" borderId="24" xfId="61" applyNumberFormat="1" applyFont="1" applyFill="1" applyBorder="1" applyAlignment="1">
      <alignment horizontal="right" vertical="center" wrapText="1"/>
    </xf>
    <xf numFmtId="0" fontId="32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33" borderId="0" xfId="57" applyFont="1" applyFill="1" applyBorder="1" applyAlignment="1">
      <alignment horizontal="left" vertical="center"/>
      <protection/>
    </xf>
    <xf numFmtId="0" fontId="32" fillId="33" borderId="0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NVERSION 2006 fin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ont>
        <name val="Calibri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3"/>
          <c:w val="0.793"/>
          <c:h val="0.9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summary!$C$24</c:f>
              <c:strCache>
                <c:ptCount val="1"/>
                <c:pt idx="0">
                  <c:v>main scheme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summary!$D$24:$E$24</c:f>
              <c:numCache/>
            </c:numRef>
          </c:val>
        </c:ser>
        <c:ser>
          <c:idx val="1"/>
          <c:order val="1"/>
          <c:tx>
            <c:strRef>
              <c:f>summary!$C$25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summary!$D$25:$E$25</c:f>
              <c:numCache/>
            </c:numRef>
          </c:val>
        </c:ser>
        <c:ser>
          <c:idx val="2"/>
          <c:order val="2"/>
          <c:tx>
            <c:strRef>
              <c:f>summary!$C$26</c:f>
              <c:strCache>
                <c:ptCount val="1"/>
                <c:pt idx="0">
                  <c:v>clearing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summary!$D$26:$E$26</c:f>
              <c:numCache/>
            </c:numRef>
          </c:val>
        </c:ser>
        <c:ser>
          <c:idx val="4"/>
          <c:order val="3"/>
          <c:tx>
            <c:strRef>
              <c:f>summary!$C$27</c:f>
              <c:strCache>
                <c:ptCount val="1"/>
                <c:pt idx="0">
                  <c:v>adjustment</c:v>
                </c:pt>
              </c:strCache>
            </c:strRef>
          </c:tx>
          <c:spPr>
            <a:solidFill>
              <a:srgbClr val="F69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summary!$D$27:$E$27</c:f>
              <c:numCache/>
            </c:numRef>
          </c:val>
        </c:ser>
        <c:ser>
          <c:idx val="3"/>
          <c:order val="4"/>
          <c:tx>
            <c:strRef>
              <c:f>summary!$C$28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B588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summary!$D$28:$E$28</c:f>
              <c:numCache/>
            </c:numRef>
          </c:val>
        </c:ser>
        <c:overlap val="100"/>
        <c:axId val="63761009"/>
        <c:axId val="36978170"/>
      </c:barChart>
      <c:catAx>
        <c:axId val="6376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1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315"/>
          <c:w val="0.17375"/>
          <c:h val="0.3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975"/>
          <c:w val="0.799"/>
          <c:h val="0.9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summary!$I$24</c:f>
              <c:strCache>
                <c:ptCount val="1"/>
                <c:pt idx="0">
                  <c:v>main scheme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summary!$J$24:$K$24</c:f>
              <c:numCache/>
            </c:numRef>
          </c:val>
        </c:ser>
        <c:ser>
          <c:idx val="1"/>
          <c:order val="1"/>
          <c:tx>
            <c:strRef>
              <c:f>summary!$I$25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summary!$J$25:$K$25</c:f>
              <c:numCache/>
            </c:numRef>
          </c:val>
        </c:ser>
        <c:ser>
          <c:idx val="2"/>
          <c:order val="2"/>
          <c:tx>
            <c:strRef>
              <c:f>summary!$I$26</c:f>
              <c:strCache>
                <c:ptCount val="1"/>
                <c:pt idx="0">
                  <c:v>clearing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summary!$J$26:$K$26</c:f>
              <c:numCache/>
            </c:numRef>
          </c:val>
        </c:ser>
        <c:ser>
          <c:idx val="4"/>
          <c:order val="3"/>
          <c:tx>
            <c:strRef>
              <c:f>summary!$I$27</c:f>
              <c:strCache>
                <c:ptCount val="1"/>
                <c:pt idx="0">
                  <c:v>adjustment</c:v>
                </c:pt>
              </c:strCache>
            </c:strRef>
          </c:tx>
          <c:spPr>
            <a:solidFill>
              <a:srgbClr val="F69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summary!$J$27:$K$27</c:f>
              <c:numCache/>
            </c:numRef>
          </c:val>
        </c:ser>
        <c:ser>
          <c:idx val="3"/>
          <c:order val="4"/>
          <c:tx>
            <c:strRef>
              <c:f>summary!$I$28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B588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summary!$J$28:$K$28</c:f>
              <c:numCache/>
            </c:numRef>
          </c:val>
        </c:ser>
        <c:overlap val="100"/>
        <c:axId val="64368075"/>
        <c:axId val="42441764"/>
      </c:barChart>
      <c:catAx>
        <c:axId val="6436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6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31325"/>
          <c:w val="0.1705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25"/>
          <c:w val="0.8855"/>
          <c:h val="0.96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characteristics!$E$16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characteristics!$C$18:$C$24</c:f>
              <c:strCache/>
            </c:strRef>
          </c:cat>
          <c:val>
            <c:numRef>
              <c:f>characteristics!$O$18:$O$24</c:f>
              <c:numCache/>
            </c:numRef>
          </c:val>
        </c:ser>
        <c:ser>
          <c:idx val="0"/>
          <c:order val="1"/>
          <c:tx>
            <c:strRef>
              <c:f>characteristics!$H$16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characteristics!$C$18:$C$24</c:f>
              <c:strCache/>
            </c:strRef>
          </c:cat>
          <c:val>
            <c:numRef>
              <c:f>characteristics!$P$18:$P$24</c:f>
              <c:numCache/>
            </c:numRef>
          </c:val>
        </c:ser>
        <c:ser>
          <c:idx val="1"/>
          <c:order val="2"/>
          <c:tx>
            <c:strRef>
              <c:f>characteristics!$K$15</c:f>
              <c:strCache>
                <c:ptCount val="1"/>
                <c:pt idx="0">
                  <c:v>UCAS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characteristics!$C$18:$C$24</c:f>
              <c:strCache/>
            </c:strRef>
          </c:cat>
          <c:val>
            <c:numRef>
              <c:f>characteristics!$Q$18:$Q$24</c:f>
              <c:numCache/>
            </c:numRef>
          </c:val>
        </c:ser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31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35"/>
          <c:w val="0.1125"/>
          <c:h val="0.3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25"/>
          <c:w val="0.8122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characteristics!$C$29:$C$30</c:f>
              <c:strCache/>
            </c:strRef>
          </c:cat>
          <c:val>
            <c:numRef>
              <c:f>characteristics!$O$29:$O$30</c:f>
              <c:numCache/>
            </c:numRef>
          </c:val>
        </c:ser>
        <c:ser>
          <c:idx val="1"/>
          <c:order val="1"/>
          <c:tx>
            <c:strRef>
              <c:f>characteristics!$H$27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characteristics!$C$29:$C$30</c:f>
              <c:strCache/>
            </c:strRef>
          </c:cat>
          <c:val>
            <c:numRef>
              <c:f>characteristics!$P$29:$P$30</c:f>
              <c:numCache/>
            </c:numRef>
          </c:val>
        </c:ser>
        <c:ser>
          <c:idx val="2"/>
          <c:order val="2"/>
          <c:tx>
            <c:strRef>
              <c:f>characteristics!$K$26</c:f>
              <c:strCache>
                <c:ptCount val="1"/>
                <c:pt idx="0">
                  <c:v>UCAS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characteristics!$C$29:$C$30</c:f>
              <c:strCache/>
            </c:strRef>
          </c:cat>
          <c:val>
            <c:numRef>
              <c:f>characteristics!$Q$29:$Q$30</c:f>
              <c:numCache/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18175"/>
          <c:w val="0.11275"/>
          <c:h val="0.6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-0.01375"/>
          <c:w val="0.93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characteristics!$E$49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characteristics!$C$51:$C$72</c:f>
              <c:strCache/>
            </c:strRef>
          </c:cat>
          <c:val>
            <c:numRef>
              <c:f>characteristics!$O$52:$O$72</c:f>
              <c:numCache/>
            </c:numRef>
          </c:val>
          <c:smooth val="1"/>
        </c:ser>
        <c:ser>
          <c:idx val="1"/>
          <c:order val="1"/>
          <c:tx>
            <c:strRef>
              <c:f>characteristics!$H$49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characteristics!$C$51:$C$72</c:f>
              <c:strCache/>
            </c:strRef>
          </c:cat>
          <c:val>
            <c:numRef>
              <c:f>characteristics!$P$52:$P$72</c:f>
              <c:numCache/>
            </c:numRef>
          </c:val>
          <c:smooth val="1"/>
        </c:ser>
        <c:ser>
          <c:idx val="2"/>
          <c:order val="2"/>
          <c:tx>
            <c:strRef>
              <c:f>characteristics!$K$48</c:f>
              <c:strCache>
                <c:ptCount val="1"/>
                <c:pt idx="0">
                  <c:v>UCAS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characteristics!$C$51:$C$72</c:f>
              <c:strCache/>
            </c:strRef>
          </c:cat>
          <c:val>
            <c:numRef>
              <c:f>characteristics!$Q$52:$Q$72</c:f>
              <c:numCache/>
            </c:numRef>
          </c:val>
          <c:smooth val="1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7954"/>
        <c:crosses val="autoZero"/>
        <c:auto val="1"/>
        <c:lblOffset val="100"/>
        <c:tickLblSkip val="2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2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4275"/>
          <c:w val="0.517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8"/>
          <c:w val="0.816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characteristics!$E$33:$F$33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characteristics!$C$35:$C$40</c:f>
              <c:strCache/>
            </c:strRef>
          </c:cat>
          <c:val>
            <c:numRef>
              <c:f>characteristics!$O$35:$O$40</c:f>
              <c:numCache/>
            </c:numRef>
          </c:val>
        </c:ser>
        <c:ser>
          <c:idx val="1"/>
          <c:order val="1"/>
          <c:tx>
            <c:strRef>
              <c:f>characteristics!$H$33:$I$33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characteristics!$C$35:$C$40</c:f>
              <c:strCache/>
            </c:strRef>
          </c:cat>
          <c:val>
            <c:numRef>
              <c:f>characteristics!$P$35:$P$40</c:f>
              <c:numCache/>
            </c:numRef>
          </c:val>
        </c:ser>
        <c:ser>
          <c:idx val="2"/>
          <c:order val="2"/>
          <c:tx>
            <c:strRef>
              <c:f>characteristics!$K$32</c:f>
              <c:strCache>
                <c:ptCount val="1"/>
                <c:pt idx="0">
                  <c:v>UCAS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characteristics!$C$35:$C$40</c:f>
              <c:strCache/>
            </c:strRef>
          </c:cat>
          <c:val>
            <c:numRef>
              <c:f>characteristics!$Q$35:$Q$40</c:f>
              <c:numCache/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01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205"/>
          <c:w val="0.11225"/>
          <c:h val="0.3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725"/>
          <c:w val="0.83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characteristics!$C$45:$C$46</c:f>
              <c:strCache/>
            </c:strRef>
          </c:cat>
          <c:val>
            <c:numRef>
              <c:f>characteristics!$O$45:$O$46</c:f>
              <c:numCache/>
            </c:numRef>
          </c:val>
        </c:ser>
        <c:ser>
          <c:idx val="1"/>
          <c:order val="1"/>
          <c:tx>
            <c:strRef>
              <c:f>characteristics!$H$43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characteristics!$C$45:$C$46</c:f>
              <c:strCache/>
            </c:strRef>
          </c:cat>
          <c:val>
            <c:numRef>
              <c:f>characteristics!$P$45:$P$46</c:f>
              <c:numCache/>
            </c:numRef>
          </c:val>
        </c:ser>
        <c:ser>
          <c:idx val="2"/>
          <c:order val="2"/>
          <c:tx>
            <c:strRef>
              <c:f>characteristics!$K$42</c:f>
              <c:strCache>
                <c:ptCount val="1"/>
                <c:pt idx="0">
                  <c:v>UCAS</c:v>
                </c:pt>
              </c:strCache>
            </c:strRef>
          </c:tx>
          <c:spPr>
            <a:solidFill>
              <a:srgbClr val="6918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characteristics!$C$45:$C$46</c:f>
              <c:strCache/>
            </c:strRef>
          </c:cat>
          <c:val>
            <c:numRef>
              <c:f>characteristics!$Q$45:$Q$46</c:f>
              <c:numCache/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2345"/>
          <c:w val="0.112"/>
          <c:h val="0.5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% accepted</a:t>
            </a:r>
          </a:p>
        </c:rich>
      </c:tx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965"/>
          <c:w val="0.640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universities!$G$18</c:f>
              <c:strCache>
                <c:ptCount val="1"/>
                <c:pt idx="0">
                  <c:v>applicants</c:v>
                </c:pt>
              </c:strCache>
            </c:strRef>
          </c:tx>
          <c:spPr>
            <a:solidFill>
              <a:srgbClr val="009F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universities!$C$19:$C$20</c:f>
              <c:strCache/>
            </c:strRef>
          </c:cat>
          <c:val>
            <c:numRef>
              <c:f>universities!$G$19:$G$20</c:f>
              <c:numCache/>
            </c:numRef>
          </c:val>
        </c:ser>
        <c:ser>
          <c:idx val="1"/>
          <c:order val="1"/>
          <c:tx>
            <c:strRef>
              <c:f>universities!$H$18</c:f>
              <c:strCache>
                <c:ptCount val="1"/>
                <c:pt idx="0">
                  <c:v>choices</c:v>
                </c:pt>
              </c:strCache>
            </c:strRef>
          </c:tx>
          <c:spPr>
            <a:solidFill>
              <a:srgbClr val="B4D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universities!$C$19:$C$20</c:f>
              <c:strCache/>
            </c:strRef>
          </c:cat>
          <c:val>
            <c:numRef>
              <c:f>universities!$H$19:$H$20</c:f>
              <c:numCache/>
            </c:numRef>
          </c:val>
        </c:ser>
        <c:axId val="10468999"/>
        <c:axId val="27112128"/>
      </c:barChart>
      <c:catAx>
        <c:axId val="10468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917"/>
          <c:w val="0.679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161925</xdr:colOff>
      <xdr:row>4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1</xdr:row>
      <xdr:rowOff>57150</xdr:rowOff>
    </xdr:from>
    <xdr:to>
      <xdr:col>17</xdr:col>
      <xdr:colOff>533400</xdr:colOff>
      <xdr:row>5</xdr:row>
      <xdr:rowOff>142875</xdr:rowOff>
    </xdr:to>
    <xdr:pic>
      <xdr:nvPicPr>
        <xdr:cNvPr id="2" name="Picture 14" descr="ucasmedi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19075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</xdr:row>
      <xdr:rowOff>0</xdr:rowOff>
    </xdr:from>
    <xdr:to>
      <xdr:col>6</xdr:col>
      <xdr:colOff>314325</xdr:colOff>
      <xdr:row>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9150" y="1047750"/>
          <a:ext cx="34004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// </a:t>
          </a:r>
          <a:r>
            <a:rPr lang="en-US" cap="none" sz="2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UCAS progression</a:t>
          </a:r>
          <a:r>
            <a:rPr lang="en-US" cap="none" sz="2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report </a:t>
          </a:r>
          <a:r>
            <a:rPr lang="en-US" cap="none" sz="20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//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9525</xdr:rowOff>
    </xdr:from>
    <xdr:to>
      <xdr:col>7</xdr:col>
      <xdr:colOff>0</xdr:colOff>
      <xdr:row>47</xdr:row>
      <xdr:rowOff>28575</xdr:rowOff>
    </xdr:to>
    <xdr:graphicFrame>
      <xdr:nvGraphicFramePr>
        <xdr:cNvPr id="1" name="Chart 12"/>
        <xdr:cNvGraphicFramePr/>
      </xdr:nvGraphicFramePr>
      <xdr:xfrm>
        <a:off x="781050" y="5124450"/>
        <a:ext cx="4648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171450</xdr:rowOff>
    </xdr:from>
    <xdr:to>
      <xdr:col>13</xdr:col>
      <xdr:colOff>0</xdr:colOff>
      <xdr:row>47</xdr:row>
      <xdr:rowOff>38100</xdr:rowOff>
    </xdr:to>
    <xdr:graphicFrame>
      <xdr:nvGraphicFramePr>
        <xdr:cNvPr id="2" name="Chart 15"/>
        <xdr:cNvGraphicFramePr/>
      </xdr:nvGraphicFramePr>
      <xdr:xfrm>
        <a:off x="5591175" y="51149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942975</xdr:colOff>
      <xdr:row>0</xdr:row>
      <xdr:rowOff>95250</xdr:rowOff>
    </xdr:from>
    <xdr:to>
      <xdr:col>14</xdr:col>
      <xdr:colOff>552450</xdr:colOff>
      <xdr:row>5</xdr:row>
      <xdr:rowOff>19050</xdr:rowOff>
    </xdr:to>
    <xdr:pic>
      <xdr:nvPicPr>
        <xdr:cNvPr id="3" name="Picture 14" descr="ucasmedia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95250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4</xdr:row>
      <xdr:rowOff>123825</xdr:rowOff>
    </xdr:from>
    <xdr:to>
      <xdr:col>3</xdr:col>
      <xdr:colOff>457200</xdr:colOff>
      <xdr:row>6</xdr:row>
      <xdr:rowOff>152400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04875" y="809625"/>
          <a:ext cx="14954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Summary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14</xdr:row>
      <xdr:rowOff>9525</xdr:rowOff>
    </xdr:from>
    <xdr:to>
      <xdr:col>19</xdr:col>
      <xdr:colOff>200025</xdr:colOff>
      <xdr:row>24</xdr:row>
      <xdr:rowOff>123825</xdr:rowOff>
    </xdr:to>
    <xdr:graphicFrame>
      <xdr:nvGraphicFramePr>
        <xdr:cNvPr id="1" name="Chart 6"/>
        <xdr:cNvGraphicFramePr/>
      </xdr:nvGraphicFramePr>
      <xdr:xfrm>
        <a:off x="8172450" y="2409825"/>
        <a:ext cx="36004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24</xdr:row>
      <xdr:rowOff>161925</xdr:rowOff>
    </xdr:from>
    <xdr:to>
      <xdr:col>19</xdr:col>
      <xdr:colOff>180975</xdr:colOff>
      <xdr:row>30</xdr:row>
      <xdr:rowOff>133350</xdr:rowOff>
    </xdr:to>
    <xdr:graphicFrame>
      <xdr:nvGraphicFramePr>
        <xdr:cNvPr id="2" name="Chart 8"/>
        <xdr:cNvGraphicFramePr/>
      </xdr:nvGraphicFramePr>
      <xdr:xfrm>
        <a:off x="8162925" y="4276725"/>
        <a:ext cx="3590925" cy="100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247650</xdr:colOff>
      <xdr:row>48</xdr:row>
      <xdr:rowOff>9525</xdr:rowOff>
    </xdr:from>
    <xdr:to>
      <xdr:col>19</xdr:col>
      <xdr:colOff>180975</xdr:colOff>
      <xdr:row>72</xdr:row>
      <xdr:rowOff>28575</xdr:rowOff>
    </xdr:to>
    <xdr:graphicFrame>
      <xdr:nvGraphicFramePr>
        <xdr:cNvPr id="3" name="Chart 9"/>
        <xdr:cNvGraphicFramePr/>
      </xdr:nvGraphicFramePr>
      <xdr:xfrm>
        <a:off x="8162925" y="8239125"/>
        <a:ext cx="35909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31</xdr:row>
      <xdr:rowOff>0</xdr:rowOff>
    </xdr:from>
    <xdr:to>
      <xdr:col>19</xdr:col>
      <xdr:colOff>190500</xdr:colOff>
      <xdr:row>40</xdr:row>
      <xdr:rowOff>114300</xdr:rowOff>
    </xdr:to>
    <xdr:graphicFrame>
      <xdr:nvGraphicFramePr>
        <xdr:cNvPr id="4" name="Chart 10"/>
        <xdr:cNvGraphicFramePr/>
      </xdr:nvGraphicFramePr>
      <xdr:xfrm>
        <a:off x="8162925" y="5314950"/>
        <a:ext cx="36004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247650</xdr:colOff>
      <xdr:row>40</xdr:row>
      <xdr:rowOff>161925</xdr:rowOff>
    </xdr:from>
    <xdr:to>
      <xdr:col>19</xdr:col>
      <xdr:colOff>200025</xdr:colOff>
      <xdr:row>47</xdr:row>
      <xdr:rowOff>142875</xdr:rowOff>
    </xdr:to>
    <xdr:graphicFrame>
      <xdr:nvGraphicFramePr>
        <xdr:cNvPr id="5" name="Chart 11"/>
        <xdr:cNvGraphicFramePr/>
      </xdr:nvGraphicFramePr>
      <xdr:xfrm>
        <a:off x="8162925" y="7019925"/>
        <a:ext cx="3609975" cy="118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17</xdr:col>
      <xdr:colOff>76200</xdr:colOff>
      <xdr:row>0</xdr:row>
      <xdr:rowOff>0</xdr:rowOff>
    </xdr:from>
    <xdr:to>
      <xdr:col>20</xdr:col>
      <xdr:colOff>523875</xdr:colOff>
      <xdr:row>4</xdr:row>
      <xdr:rowOff>85725</xdr:rowOff>
    </xdr:to>
    <xdr:pic>
      <xdr:nvPicPr>
        <xdr:cNvPr id="6" name="Picture 10" descr="ucasmedia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9875" y="0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</xdr:row>
      <xdr:rowOff>142875</xdr:rowOff>
    </xdr:from>
    <xdr:to>
      <xdr:col>8</xdr:col>
      <xdr:colOff>314325</xdr:colOff>
      <xdr:row>6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47725" y="828675"/>
          <a:ext cx="3895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My centre applicant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characteristics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13</xdr:row>
      <xdr:rowOff>9525</xdr:rowOff>
    </xdr:from>
    <xdr:to>
      <xdr:col>8</xdr:col>
      <xdr:colOff>676275</xdr:colOff>
      <xdr:row>34</xdr:row>
      <xdr:rowOff>161925</xdr:rowOff>
    </xdr:to>
    <xdr:graphicFrame>
      <xdr:nvGraphicFramePr>
        <xdr:cNvPr id="1" name="Chart 2"/>
        <xdr:cNvGraphicFramePr/>
      </xdr:nvGraphicFramePr>
      <xdr:xfrm>
        <a:off x="6019800" y="2238375"/>
        <a:ext cx="240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514350</xdr:colOff>
      <xdr:row>0</xdr:row>
      <xdr:rowOff>0</xdr:rowOff>
    </xdr:from>
    <xdr:to>
      <xdr:col>10</xdr:col>
      <xdr:colOff>523875</xdr:colOff>
      <xdr:row>4</xdr:row>
      <xdr:rowOff>85725</xdr:rowOff>
    </xdr:to>
    <xdr:pic>
      <xdr:nvPicPr>
        <xdr:cNvPr id="2" name="Picture 19" descr="ucasmedi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0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7</xdr:row>
      <xdr:rowOff>114300</xdr:rowOff>
    </xdr:from>
    <xdr:to>
      <xdr:col>8</xdr:col>
      <xdr:colOff>247650</xdr:colOff>
      <xdr:row>10</xdr:row>
      <xdr:rowOff>57150</xdr:rowOff>
    </xdr:to>
    <xdr:sp macro="[0]!back_to_original">
      <xdr:nvSpPr>
        <xdr:cNvPr id="3" name="Rounded Rectangle 20"/>
        <xdr:cNvSpPr>
          <a:spLocks noChangeAspect="1"/>
        </xdr:cNvSpPr>
      </xdr:nvSpPr>
      <xdr:spPr>
        <a:xfrm>
          <a:off x="6410325" y="1314450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 to start</a:t>
          </a:r>
        </a:p>
      </xdr:txBody>
    </xdr:sp>
    <xdr:clientData/>
  </xdr:twoCellAnchor>
  <xdr:twoCellAnchor>
    <xdr:from>
      <xdr:col>4</xdr:col>
      <xdr:colOff>523875</xdr:colOff>
      <xdr:row>29</xdr:row>
      <xdr:rowOff>152400</xdr:rowOff>
    </xdr:from>
    <xdr:to>
      <xdr:col>6</xdr:col>
      <xdr:colOff>285750</xdr:colOff>
      <xdr:row>32</xdr:row>
      <xdr:rowOff>104775</xdr:rowOff>
    </xdr:to>
    <xdr:sp macro="[0]!million_group">
      <xdr:nvSpPr>
        <xdr:cNvPr id="4" name="Rounded Rectangle 21"/>
        <xdr:cNvSpPr>
          <a:spLocks noChangeAspect="1"/>
        </xdr:cNvSpPr>
      </xdr:nvSpPr>
      <xdr:spPr>
        <a:xfrm>
          <a:off x="4400550" y="5143500"/>
          <a:ext cx="1590675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Million +</a:t>
          </a:r>
        </a:p>
      </xdr:txBody>
    </xdr:sp>
    <xdr:clientData/>
  </xdr:twoCellAnchor>
  <xdr:twoCellAnchor>
    <xdr:from>
      <xdr:col>2</xdr:col>
      <xdr:colOff>1762125</xdr:colOff>
      <xdr:row>33</xdr:row>
      <xdr:rowOff>19050</xdr:rowOff>
    </xdr:from>
    <xdr:to>
      <xdr:col>4</xdr:col>
      <xdr:colOff>352425</xdr:colOff>
      <xdr:row>35</xdr:row>
      <xdr:rowOff>133350</xdr:rowOff>
    </xdr:to>
    <xdr:sp macro="[0]!ukadia_group">
      <xdr:nvSpPr>
        <xdr:cNvPr id="5" name="Rounded Rectangle 22"/>
        <xdr:cNvSpPr>
          <a:spLocks noChangeAspect="1"/>
        </xdr:cNvSpPr>
      </xdr:nvSpPr>
      <xdr:spPr>
        <a:xfrm>
          <a:off x="2647950" y="5695950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UKADIA</a:t>
          </a:r>
        </a:p>
      </xdr:txBody>
    </xdr:sp>
    <xdr:clientData/>
  </xdr:twoCellAnchor>
  <xdr:twoCellAnchor>
    <xdr:from>
      <xdr:col>1</xdr:col>
      <xdr:colOff>257175</xdr:colOff>
      <xdr:row>33</xdr:row>
      <xdr:rowOff>9525</xdr:rowOff>
    </xdr:from>
    <xdr:to>
      <xdr:col>2</xdr:col>
      <xdr:colOff>1571625</xdr:colOff>
      <xdr:row>35</xdr:row>
      <xdr:rowOff>133350</xdr:rowOff>
    </xdr:to>
    <xdr:sp macro="[0]!ua_group">
      <xdr:nvSpPr>
        <xdr:cNvPr id="6" name="Rounded Rectangle 23"/>
        <xdr:cNvSpPr>
          <a:spLocks noChangeAspect="1"/>
        </xdr:cNvSpPr>
      </xdr:nvSpPr>
      <xdr:spPr>
        <a:xfrm>
          <a:off x="866775" y="5686425"/>
          <a:ext cx="1590675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University Alliance</a:t>
          </a:r>
        </a:p>
      </xdr:txBody>
    </xdr:sp>
    <xdr:clientData/>
  </xdr:twoCellAnchor>
  <xdr:twoCellAnchor>
    <xdr:from>
      <xdr:col>1</xdr:col>
      <xdr:colOff>266700</xdr:colOff>
      <xdr:row>29</xdr:row>
      <xdr:rowOff>161925</xdr:rowOff>
    </xdr:from>
    <xdr:to>
      <xdr:col>2</xdr:col>
      <xdr:colOff>1581150</xdr:colOff>
      <xdr:row>32</xdr:row>
      <xdr:rowOff>104775</xdr:rowOff>
    </xdr:to>
    <xdr:sp macro="[0]!russell_group">
      <xdr:nvSpPr>
        <xdr:cNvPr id="7" name="Rounded Rectangle 24"/>
        <xdr:cNvSpPr>
          <a:spLocks noChangeAspect="1"/>
        </xdr:cNvSpPr>
      </xdr:nvSpPr>
      <xdr:spPr>
        <a:xfrm>
          <a:off x="876300" y="5153025"/>
          <a:ext cx="1590675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Russell Group</a:t>
          </a:r>
        </a:p>
      </xdr:txBody>
    </xdr:sp>
    <xdr:clientData/>
  </xdr:twoCellAnchor>
  <xdr:twoCellAnchor>
    <xdr:from>
      <xdr:col>2</xdr:col>
      <xdr:colOff>1762125</xdr:colOff>
      <xdr:row>29</xdr:row>
      <xdr:rowOff>152400</xdr:rowOff>
    </xdr:from>
    <xdr:to>
      <xdr:col>4</xdr:col>
      <xdr:colOff>352425</xdr:colOff>
      <xdr:row>32</xdr:row>
      <xdr:rowOff>104775</xdr:rowOff>
    </xdr:to>
    <xdr:sp macro="[0]!one994_group">
      <xdr:nvSpPr>
        <xdr:cNvPr id="8" name="Rounded Rectangle 25"/>
        <xdr:cNvSpPr>
          <a:spLocks noChangeAspect="1"/>
        </xdr:cNvSpPr>
      </xdr:nvSpPr>
      <xdr:spPr>
        <a:xfrm>
          <a:off x="2647950" y="5143500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1994 group</a:t>
          </a:r>
        </a:p>
      </xdr:txBody>
    </xdr:sp>
    <xdr:clientData/>
  </xdr:twoCellAnchor>
  <xdr:twoCellAnchor>
    <xdr:from>
      <xdr:col>1</xdr:col>
      <xdr:colOff>257175</xdr:colOff>
      <xdr:row>23</xdr:row>
      <xdr:rowOff>114300</xdr:rowOff>
    </xdr:from>
    <xdr:to>
      <xdr:col>2</xdr:col>
      <xdr:colOff>1562100</xdr:colOff>
      <xdr:row>26</xdr:row>
      <xdr:rowOff>47625</xdr:rowOff>
    </xdr:to>
    <xdr:sp macro="[0]!my_choices">
      <xdr:nvSpPr>
        <xdr:cNvPr id="9" name="Rounded Rectangle 26"/>
        <xdr:cNvSpPr>
          <a:spLocks noChangeAspect="1"/>
        </xdr:cNvSpPr>
      </xdr:nvSpPr>
      <xdr:spPr>
        <a:xfrm>
          <a:off x="866775" y="4076700"/>
          <a:ext cx="1581150" cy="44767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my choices only</a:t>
          </a:r>
        </a:p>
      </xdr:txBody>
    </xdr:sp>
    <xdr:clientData/>
  </xdr:twoCellAnchor>
  <xdr:twoCellAnchor>
    <xdr:from>
      <xdr:col>1</xdr:col>
      <xdr:colOff>257175</xdr:colOff>
      <xdr:row>26</xdr:row>
      <xdr:rowOff>142875</xdr:rowOff>
    </xdr:from>
    <xdr:to>
      <xdr:col>2</xdr:col>
      <xdr:colOff>1571625</xdr:colOff>
      <xdr:row>29</xdr:row>
      <xdr:rowOff>85725</xdr:rowOff>
    </xdr:to>
    <xdr:sp macro="[0]!top_choices">
      <xdr:nvSpPr>
        <xdr:cNvPr id="10" name="Rounded Rectangle 27"/>
        <xdr:cNvSpPr>
          <a:spLocks noChangeAspect="1"/>
        </xdr:cNvSpPr>
      </xdr:nvSpPr>
      <xdr:spPr>
        <a:xfrm>
          <a:off x="866775" y="4619625"/>
          <a:ext cx="1590675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ten choices</a:t>
          </a:r>
        </a:p>
      </xdr:txBody>
    </xdr:sp>
    <xdr:clientData/>
  </xdr:twoCellAnchor>
  <xdr:twoCellAnchor>
    <xdr:from>
      <xdr:col>1</xdr:col>
      <xdr:colOff>257175</xdr:colOff>
      <xdr:row>20</xdr:row>
      <xdr:rowOff>85725</xdr:rowOff>
    </xdr:from>
    <xdr:to>
      <xdr:col>2</xdr:col>
      <xdr:colOff>1571625</xdr:colOff>
      <xdr:row>23</xdr:row>
      <xdr:rowOff>28575</xdr:rowOff>
    </xdr:to>
    <xdr:sp macro="[0]!sortchoices">
      <xdr:nvSpPr>
        <xdr:cNvPr id="11" name="Rounded Rectangle 28"/>
        <xdr:cNvSpPr>
          <a:spLocks noChangeAspect="1"/>
        </xdr:cNvSpPr>
      </xdr:nvSpPr>
      <xdr:spPr>
        <a:xfrm>
          <a:off x="866775" y="3533775"/>
          <a:ext cx="1590675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sort by choices</a:t>
          </a:r>
        </a:p>
      </xdr:txBody>
    </xdr:sp>
    <xdr:clientData/>
  </xdr:twoCellAnchor>
  <xdr:twoCellAnchor>
    <xdr:from>
      <xdr:col>2</xdr:col>
      <xdr:colOff>1762125</xdr:colOff>
      <xdr:row>20</xdr:row>
      <xdr:rowOff>57150</xdr:rowOff>
    </xdr:from>
    <xdr:to>
      <xdr:col>4</xdr:col>
      <xdr:colOff>352425</xdr:colOff>
      <xdr:row>23</xdr:row>
      <xdr:rowOff>9525</xdr:rowOff>
    </xdr:to>
    <xdr:sp macro="[0]!sortaccepts">
      <xdr:nvSpPr>
        <xdr:cNvPr id="12" name="Rounded Rectangle 29"/>
        <xdr:cNvSpPr>
          <a:spLocks noChangeAspect="1"/>
        </xdr:cNvSpPr>
      </xdr:nvSpPr>
      <xdr:spPr>
        <a:xfrm>
          <a:off x="2647950" y="3505200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sort by accepts</a:t>
          </a:r>
        </a:p>
      </xdr:txBody>
    </xdr:sp>
    <xdr:clientData/>
  </xdr:twoCellAnchor>
  <xdr:twoCellAnchor>
    <xdr:from>
      <xdr:col>2</xdr:col>
      <xdr:colOff>1762125</xdr:colOff>
      <xdr:row>23</xdr:row>
      <xdr:rowOff>85725</xdr:rowOff>
    </xdr:from>
    <xdr:to>
      <xdr:col>4</xdr:col>
      <xdr:colOff>352425</xdr:colOff>
      <xdr:row>26</xdr:row>
      <xdr:rowOff>38100</xdr:rowOff>
    </xdr:to>
    <xdr:sp macro="[0]!my_accepts">
      <xdr:nvSpPr>
        <xdr:cNvPr id="13" name="Rounded Rectangle 30"/>
        <xdr:cNvSpPr>
          <a:spLocks noChangeAspect="1"/>
        </xdr:cNvSpPr>
      </xdr:nvSpPr>
      <xdr:spPr>
        <a:xfrm>
          <a:off x="2647950" y="4048125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my accepts only</a:t>
          </a:r>
        </a:p>
      </xdr:txBody>
    </xdr:sp>
    <xdr:clientData/>
  </xdr:twoCellAnchor>
  <xdr:twoCellAnchor>
    <xdr:from>
      <xdr:col>2</xdr:col>
      <xdr:colOff>1762125</xdr:colOff>
      <xdr:row>26</xdr:row>
      <xdr:rowOff>123825</xdr:rowOff>
    </xdr:from>
    <xdr:to>
      <xdr:col>4</xdr:col>
      <xdr:colOff>352425</xdr:colOff>
      <xdr:row>29</xdr:row>
      <xdr:rowOff>66675</xdr:rowOff>
    </xdr:to>
    <xdr:sp macro="[0]!top_accepts">
      <xdr:nvSpPr>
        <xdr:cNvPr id="14" name="Rounded Rectangle 31"/>
        <xdr:cNvSpPr>
          <a:spLocks noChangeAspect="1"/>
        </xdr:cNvSpPr>
      </xdr:nvSpPr>
      <xdr:spPr>
        <a:xfrm>
          <a:off x="2647950" y="4600575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ten accepts</a:t>
          </a:r>
        </a:p>
      </xdr:txBody>
    </xdr:sp>
    <xdr:clientData/>
  </xdr:twoCellAnchor>
  <xdr:twoCellAnchor>
    <xdr:from>
      <xdr:col>1</xdr:col>
      <xdr:colOff>228600</xdr:colOff>
      <xdr:row>4</xdr:row>
      <xdr:rowOff>133350</xdr:rowOff>
    </xdr:from>
    <xdr:to>
      <xdr:col>2</xdr:col>
      <xdr:colOff>2105025</xdr:colOff>
      <xdr:row>6</xdr:row>
      <xdr:rowOff>161925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838200" y="819150"/>
          <a:ext cx="21526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2013 universities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19050</xdr:rowOff>
    </xdr:from>
    <xdr:to>
      <xdr:col>8</xdr:col>
      <xdr:colOff>419100</xdr:colOff>
      <xdr:row>10</xdr:row>
      <xdr:rowOff>142875</xdr:rowOff>
    </xdr:to>
    <xdr:sp macro="[0]!subject_to_original">
      <xdr:nvSpPr>
        <xdr:cNvPr id="1" name="Rounded Rectangle 16"/>
        <xdr:cNvSpPr>
          <a:spLocks noChangeAspect="1"/>
        </xdr:cNvSpPr>
      </xdr:nvSpPr>
      <xdr:spPr>
        <a:xfrm>
          <a:off x="8267700" y="1390650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 to start</a:t>
          </a:r>
        </a:p>
      </xdr:txBody>
    </xdr:sp>
    <xdr:clientData/>
  </xdr:twoCellAnchor>
  <xdr:twoCellAnchor>
    <xdr:from>
      <xdr:col>2</xdr:col>
      <xdr:colOff>57150</xdr:colOff>
      <xdr:row>20</xdr:row>
      <xdr:rowOff>57150</xdr:rowOff>
    </xdr:from>
    <xdr:to>
      <xdr:col>3</xdr:col>
      <xdr:colOff>342900</xdr:colOff>
      <xdr:row>23</xdr:row>
      <xdr:rowOff>19050</xdr:rowOff>
    </xdr:to>
    <xdr:sp macro="[0]!restrict_group">
      <xdr:nvSpPr>
        <xdr:cNvPr id="2" name="Rounded Rectangle 24"/>
        <xdr:cNvSpPr>
          <a:spLocks noChangeAspect="1"/>
        </xdr:cNvSpPr>
      </xdr:nvSpPr>
      <xdr:spPr>
        <a:xfrm>
          <a:off x="828675" y="3524250"/>
          <a:ext cx="1581150" cy="47625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restrict to groups</a:t>
          </a:r>
        </a:p>
      </xdr:txBody>
    </xdr:sp>
    <xdr:clientData/>
  </xdr:twoCellAnchor>
  <xdr:twoCellAnchor>
    <xdr:from>
      <xdr:col>2</xdr:col>
      <xdr:colOff>57150</xdr:colOff>
      <xdr:row>23</xdr:row>
      <xdr:rowOff>95250</xdr:rowOff>
    </xdr:from>
    <xdr:to>
      <xdr:col>3</xdr:col>
      <xdr:colOff>342900</xdr:colOff>
      <xdr:row>26</xdr:row>
      <xdr:rowOff>38100</xdr:rowOff>
    </xdr:to>
    <xdr:sp macro="[0]!subject_sortchoices">
      <xdr:nvSpPr>
        <xdr:cNvPr id="3" name="Rounded Rectangle 29"/>
        <xdr:cNvSpPr>
          <a:spLocks noChangeAspect="1"/>
        </xdr:cNvSpPr>
      </xdr:nvSpPr>
      <xdr:spPr>
        <a:xfrm>
          <a:off x="828675" y="4076700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sort by choices</a:t>
          </a:r>
        </a:p>
      </xdr:txBody>
    </xdr:sp>
    <xdr:clientData/>
  </xdr:twoCellAnchor>
  <xdr:twoCellAnchor>
    <xdr:from>
      <xdr:col>3</xdr:col>
      <xdr:colOff>590550</xdr:colOff>
      <xdr:row>20</xdr:row>
      <xdr:rowOff>57150</xdr:rowOff>
    </xdr:from>
    <xdr:to>
      <xdr:col>3</xdr:col>
      <xdr:colOff>2171700</xdr:colOff>
      <xdr:row>23</xdr:row>
      <xdr:rowOff>19050</xdr:rowOff>
    </xdr:to>
    <xdr:sp macro="[0]!restrict_line">
      <xdr:nvSpPr>
        <xdr:cNvPr id="4" name="Rounded Rectangle 30"/>
        <xdr:cNvSpPr>
          <a:spLocks noChangeAspect="1"/>
        </xdr:cNvSpPr>
      </xdr:nvSpPr>
      <xdr:spPr>
        <a:xfrm>
          <a:off x="2657475" y="3524250"/>
          <a:ext cx="1581150" cy="47625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restrict to lines</a:t>
          </a:r>
        </a:p>
      </xdr:txBody>
    </xdr:sp>
    <xdr:clientData/>
  </xdr:twoCellAnchor>
  <xdr:twoCellAnchor>
    <xdr:from>
      <xdr:col>3</xdr:col>
      <xdr:colOff>590550</xdr:colOff>
      <xdr:row>29</xdr:row>
      <xdr:rowOff>142875</xdr:rowOff>
    </xdr:from>
    <xdr:to>
      <xdr:col>3</xdr:col>
      <xdr:colOff>2162175</xdr:colOff>
      <xdr:row>32</xdr:row>
      <xdr:rowOff>95250</xdr:rowOff>
    </xdr:to>
    <xdr:sp macro="[0]!top_group_accepts">
      <xdr:nvSpPr>
        <xdr:cNvPr id="5" name="Rounded Rectangle 31"/>
        <xdr:cNvSpPr>
          <a:spLocks noChangeAspect="1"/>
        </xdr:cNvSpPr>
      </xdr:nvSpPr>
      <xdr:spPr>
        <a:xfrm>
          <a:off x="2657475" y="5153025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ten group accepts</a:t>
          </a:r>
        </a:p>
      </xdr:txBody>
    </xdr:sp>
    <xdr:clientData/>
  </xdr:twoCellAnchor>
  <xdr:twoCellAnchor>
    <xdr:from>
      <xdr:col>3</xdr:col>
      <xdr:colOff>590550</xdr:colOff>
      <xdr:row>33</xdr:row>
      <xdr:rowOff>0</xdr:rowOff>
    </xdr:from>
    <xdr:to>
      <xdr:col>3</xdr:col>
      <xdr:colOff>2171700</xdr:colOff>
      <xdr:row>35</xdr:row>
      <xdr:rowOff>123825</xdr:rowOff>
    </xdr:to>
    <xdr:sp macro="[0]!top_line_accepts">
      <xdr:nvSpPr>
        <xdr:cNvPr id="6" name="Rounded Rectangle 32"/>
        <xdr:cNvSpPr>
          <a:spLocks noChangeAspect="1"/>
        </xdr:cNvSpPr>
      </xdr:nvSpPr>
      <xdr:spPr>
        <a:xfrm>
          <a:off x="2657475" y="5695950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ten line accepts</a:t>
          </a:r>
        </a:p>
      </xdr:txBody>
    </xdr:sp>
    <xdr:clientData/>
  </xdr:twoCellAnchor>
  <xdr:twoCellAnchor>
    <xdr:from>
      <xdr:col>2</xdr:col>
      <xdr:colOff>57150</xdr:colOff>
      <xdr:row>29</xdr:row>
      <xdr:rowOff>142875</xdr:rowOff>
    </xdr:from>
    <xdr:to>
      <xdr:col>3</xdr:col>
      <xdr:colOff>342900</xdr:colOff>
      <xdr:row>32</xdr:row>
      <xdr:rowOff>95250</xdr:rowOff>
    </xdr:to>
    <xdr:sp macro="[0]!top_group_choices">
      <xdr:nvSpPr>
        <xdr:cNvPr id="7" name="Rounded Rectangle 33"/>
        <xdr:cNvSpPr>
          <a:spLocks noChangeAspect="1"/>
        </xdr:cNvSpPr>
      </xdr:nvSpPr>
      <xdr:spPr>
        <a:xfrm>
          <a:off x="828675" y="5153025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group choices</a:t>
          </a:r>
        </a:p>
      </xdr:txBody>
    </xdr:sp>
    <xdr:clientData/>
  </xdr:twoCellAnchor>
  <xdr:twoCellAnchor>
    <xdr:from>
      <xdr:col>2</xdr:col>
      <xdr:colOff>57150</xdr:colOff>
      <xdr:row>26</xdr:row>
      <xdr:rowOff>123825</xdr:rowOff>
    </xdr:from>
    <xdr:to>
      <xdr:col>3</xdr:col>
      <xdr:colOff>352425</xdr:colOff>
      <xdr:row>29</xdr:row>
      <xdr:rowOff>66675</xdr:rowOff>
    </xdr:to>
    <xdr:sp macro="[0]!subjectmy_choices">
      <xdr:nvSpPr>
        <xdr:cNvPr id="8" name="Rounded Rectangle 34"/>
        <xdr:cNvSpPr>
          <a:spLocks noChangeAspect="1"/>
        </xdr:cNvSpPr>
      </xdr:nvSpPr>
      <xdr:spPr>
        <a:xfrm>
          <a:off x="828675" y="4619625"/>
          <a:ext cx="1590675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my choices only</a:t>
          </a:r>
        </a:p>
      </xdr:txBody>
    </xdr:sp>
    <xdr:clientData/>
  </xdr:twoCellAnchor>
  <xdr:twoCellAnchor>
    <xdr:from>
      <xdr:col>2</xdr:col>
      <xdr:colOff>57150</xdr:colOff>
      <xdr:row>33</xdr:row>
      <xdr:rowOff>0</xdr:rowOff>
    </xdr:from>
    <xdr:to>
      <xdr:col>3</xdr:col>
      <xdr:colOff>342900</xdr:colOff>
      <xdr:row>35</xdr:row>
      <xdr:rowOff>123825</xdr:rowOff>
    </xdr:to>
    <xdr:sp macro="[0]!top_line_choices">
      <xdr:nvSpPr>
        <xdr:cNvPr id="9" name="Rounded Rectangle 35"/>
        <xdr:cNvSpPr>
          <a:spLocks noChangeAspect="1"/>
        </xdr:cNvSpPr>
      </xdr:nvSpPr>
      <xdr:spPr>
        <a:xfrm>
          <a:off x="828675" y="5695950"/>
          <a:ext cx="1581150" cy="466725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top line choices</a:t>
          </a:r>
        </a:p>
      </xdr:txBody>
    </xdr:sp>
    <xdr:clientData/>
  </xdr:twoCellAnchor>
  <xdr:twoCellAnchor>
    <xdr:from>
      <xdr:col>3</xdr:col>
      <xdr:colOff>590550</xdr:colOff>
      <xdr:row>26</xdr:row>
      <xdr:rowOff>123825</xdr:rowOff>
    </xdr:from>
    <xdr:to>
      <xdr:col>3</xdr:col>
      <xdr:colOff>2162175</xdr:colOff>
      <xdr:row>29</xdr:row>
      <xdr:rowOff>66675</xdr:rowOff>
    </xdr:to>
    <xdr:sp macro="[0]!subjectmy_accepts">
      <xdr:nvSpPr>
        <xdr:cNvPr id="10" name="Rounded Rectangle 36"/>
        <xdr:cNvSpPr>
          <a:spLocks noChangeAspect="1"/>
        </xdr:cNvSpPr>
      </xdr:nvSpPr>
      <xdr:spPr>
        <a:xfrm>
          <a:off x="2657475" y="4619625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my accepts only</a:t>
          </a:r>
        </a:p>
      </xdr:txBody>
    </xdr:sp>
    <xdr:clientData/>
  </xdr:twoCellAnchor>
  <xdr:twoCellAnchor>
    <xdr:from>
      <xdr:col>3</xdr:col>
      <xdr:colOff>590550</xdr:colOff>
      <xdr:row>23</xdr:row>
      <xdr:rowOff>95250</xdr:rowOff>
    </xdr:from>
    <xdr:to>
      <xdr:col>3</xdr:col>
      <xdr:colOff>2171700</xdr:colOff>
      <xdr:row>26</xdr:row>
      <xdr:rowOff>38100</xdr:rowOff>
    </xdr:to>
    <xdr:sp macro="[0]!subject_sortaccepts">
      <xdr:nvSpPr>
        <xdr:cNvPr id="11" name="Rounded Rectangle 37"/>
        <xdr:cNvSpPr>
          <a:spLocks noChangeAspect="1"/>
        </xdr:cNvSpPr>
      </xdr:nvSpPr>
      <xdr:spPr>
        <a:xfrm>
          <a:off x="2657475" y="4076700"/>
          <a:ext cx="1581150" cy="457200"/>
        </a:xfrm>
        <a:prstGeom prst="roundRect">
          <a:avLst/>
        </a:prstGeom>
        <a:solidFill>
          <a:srgbClr val="009FE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sort</a:t>
          </a:r>
          <a:r>
            <a:rPr lang="en-US" cap="none" sz="1050" b="1" i="0" u="none" baseline="0">
              <a:solidFill>
                <a:srgbClr val="FFFFFF"/>
              </a:solidFill>
            </a:rPr>
            <a:t> by accepts</a:t>
          </a:r>
        </a:p>
      </xdr:txBody>
    </xdr:sp>
    <xdr:clientData/>
  </xdr:twoCellAnchor>
  <xdr:twoCellAnchor editAs="oneCell">
    <xdr:from>
      <xdr:col>7</xdr:col>
      <xdr:colOff>1228725</xdr:colOff>
      <xdr:row>0</xdr:row>
      <xdr:rowOff>0</xdr:rowOff>
    </xdr:from>
    <xdr:to>
      <xdr:col>10</xdr:col>
      <xdr:colOff>523875</xdr:colOff>
      <xdr:row>4</xdr:row>
      <xdr:rowOff>85725</xdr:rowOff>
    </xdr:to>
    <xdr:pic>
      <xdr:nvPicPr>
        <xdr:cNvPr id="12" name="Picture 38" descr="ucasmedi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</xdr:row>
      <xdr:rowOff>133350</xdr:rowOff>
    </xdr:from>
    <xdr:to>
      <xdr:col>3</xdr:col>
      <xdr:colOff>628650</xdr:colOff>
      <xdr:row>6</xdr:row>
      <xdr:rowOff>161925</xdr:rowOff>
    </xdr:to>
    <xdr:sp>
      <xdr:nvSpPr>
        <xdr:cNvPr id="13" name="TextBox 7"/>
        <xdr:cNvSpPr txBox="1">
          <a:spLocks noChangeArrowheads="1"/>
        </xdr:cNvSpPr>
      </xdr:nvSpPr>
      <xdr:spPr>
        <a:xfrm>
          <a:off x="828675" y="819150"/>
          <a:ext cx="1866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2013 subjects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0</xdr:rowOff>
    </xdr:from>
    <xdr:to>
      <xdr:col>13</xdr:col>
      <xdr:colOff>542925</xdr:colOff>
      <xdr:row>4</xdr:row>
      <xdr:rowOff>85725</xdr:rowOff>
    </xdr:to>
    <xdr:pic>
      <xdr:nvPicPr>
        <xdr:cNvPr id="1" name="Picture 5" descr="ucasmedi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123825</xdr:rowOff>
    </xdr:from>
    <xdr:to>
      <xdr:col>4</xdr:col>
      <xdr:colOff>419100</xdr:colOff>
      <xdr:row>6</xdr:row>
      <xdr:rowOff>152400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90575" y="809625"/>
          <a:ext cx="34385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2013 universities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and subjects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0</xdr:rowOff>
    </xdr:from>
    <xdr:to>
      <xdr:col>6</xdr:col>
      <xdr:colOff>876300</xdr:colOff>
      <xdr:row>31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6725" y="5286375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accepted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pplicant characteristics</a:t>
          </a: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//</a:t>
          </a:r>
        </a:p>
      </xdr:txBody>
    </xdr:sp>
    <xdr:clientData/>
  </xdr:twoCellAnchor>
  <xdr:twoCellAnchor>
    <xdr:from>
      <xdr:col>0</xdr:col>
      <xdr:colOff>466725</xdr:colOff>
      <xdr:row>3</xdr:row>
      <xdr:rowOff>114300</xdr:rowOff>
    </xdr:from>
    <xdr:to>
      <xdr:col>3</xdr:col>
      <xdr:colOff>466725</xdr:colOff>
      <xdr:row>5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66725" y="628650"/>
          <a:ext cx="2647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applicants (2013)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23</xdr:row>
      <xdr:rowOff>0</xdr:rowOff>
    </xdr:from>
    <xdr:to>
      <xdr:col>6</xdr:col>
      <xdr:colOff>876300</xdr:colOff>
      <xdr:row>23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6725" y="3914775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accepted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pplicant characteristics</a:t>
          </a: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//</a:t>
          </a:r>
        </a:p>
      </xdr:txBody>
    </xdr:sp>
    <xdr:clientData/>
  </xdr:twoCellAnchor>
  <xdr:twoCellAnchor>
    <xdr:from>
      <xdr:col>0</xdr:col>
      <xdr:colOff>466725</xdr:colOff>
      <xdr:row>62</xdr:row>
      <xdr:rowOff>0</xdr:rowOff>
    </xdr:from>
    <xdr:to>
      <xdr:col>6</xdr:col>
      <xdr:colOff>876300</xdr:colOff>
      <xdr:row>62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66725" y="10601325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accepted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pplicant characteristics</a:t>
          </a: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//</a:t>
          </a:r>
        </a:p>
      </xdr:txBody>
    </xdr:sp>
    <xdr:clientData/>
  </xdr:twoCellAnchor>
  <xdr:twoCellAnchor>
    <xdr:from>
      <xdr:col>0</xdr:col>
      <xdr:colOff>447675</xdr:colOff>
      <xdr:row>2</xdr:row>
      <xdr:rowOff>95250</xdr:rowOff>
    </xdr:from>
    <xdr:to>
      <xdr:col>3</xdr:col>
      <xdr:colOff>95250</xdr:colOff>
      <xdr:row>4</xdr:row>
      <xdr:rowOff>123825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47675" y="447675"/>
          <a:ext cx="2295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All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choices (2013)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2</xdr:col>
      <xdr:colOff>1019175</xdr:colOff>
      <xdr:row>4</xdr:row>
      <xdr:rowOff>152400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2875" y="476250"/>
          <a:ext cx="23431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DIY analysis (2013)</a:t>
          </a:r>
          <a:r>
            <a: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//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0:V185" sheet="all choices (2013)"/>
  </cacheSource>
  <cacheFields count="21">
    <cacheField name="First name">
      <sharedItems containsMixedTypes="0" count="35">
        <s v="Reena"/>
        <s v="Katherine"/>
        <s v="Edward"/>
        <s v="Daniel"/>
        <s v="Ben"/>
        <s v="Louise"/>
        <s v="Christopher"/>
        <s v="Stephanie"/>
        <s v="Mohammed"/>
        <s v="Adam"/>
        <s v="Nick"/>
        <s v="Jasper"/>
        <s v="Richard"/>
        <s v="Rachel"/>
        <s v="John"/>
        <s v="Fiona"/>
        <s v="Jacob"/>
        <s v="Simon"/>
        <s v="Gareth"/>
        <s v="Tom"/>
        <s v="Jenny"/>
        <s v="Lisa"/>
        <s v="Amanda"/>
        <s v="Rebecca"/>
        <s v="James"/>
        <s v="Samantha"/>
        <s v="Laura"/>
        <s v="Katie"/>
        <s v="Rosie"/>
        <s v="Anne"/>
        <s v="Zara"/>
        <s v="Anna"/>
        <s v="David"/>
        <s v="Jonathan"/>
        <s v="Joanna"/>
      </sharedItems>
    </cacheField>
    <cacheField name="Surname">
      <sharedItems containsMixedTypes="0" count="36">
        <s v="Patel"/>
        <s v="Price"/>
        <s v="Jones"/>
        <s v="Peters"/>
        <s v="McDonald"/>
        <s v="Evans"/>
        <s v="Harding"/>
        <s v="Thomas"/>
        <s v="Garrett"/>
        <s v="Fry"/>
        <s v="Edwards"/>
        <s v="Saunders"/>
        <s v="Chambers"/>
        <s v="Collins"/>
        <s v="Butler"/>
        <s v="Weston"/>
        <s v="Field"/>
        <s v="Ling"/>
        <s v="Hopkins"/>
        <s v="Atkins"/>
        <s v="Hughes"/>
        <s v="Smith"/>
        <s v="Robinson"/>
        <s v="Thompson"/>
        <s v="Morgan"/>
        <s v="Trott"/>
        <s v="Wellbourn"/>
        <s v="Waite"/>
        <s v="Williams"/>
        <s v="Barker"/>
        <s v="Murray"/>
        <s v="Holmes"/>
        <s v="King"/>
        <s v="Tucker"/>
        <s v="Kay"/>
        <s v="Simpson"/>
      </sharedItems>
    </cacheField>
    <cacheField name="appno">
      <sharedItems containsMixedTypes="0"/>
    </cacheField>
    <cacheField name="Age">
      <sharedItems containsSemiMixedTypes="0" containsString="0" containsMixedTypes="0" containsNumber="1" containsInteger="1"/>
    </cacheField>
    <cacheField name="Gender">
      <sharedItems containsMixedTypes="0"/>
    </cacheField>
    <cacheField name="Tariff score">
      <sharedItems containsSemiMixedTypes="0" containsString="0" containsMixedTypes="0" containsNumber="1" containsInteger="1"/>
    </cacheField>
    <cacheField name="Ethnicity">
      <sharedItems containsMixedTypes="0"/>
    </cacheField>
    <cacheField name="Disability">
      <sharedItems containsMixedTypes="0"/>
    </cacheField>
    <cacheField name="Postcode">
      <sharedItems containsMixedTypes="0"/>
    </cacheField>
    <cacheField name="HEI code">
      <sharedItems containsMixedTypes="0"/>
    </cacheField>
    <cacheField name="HEI name">
      <sharedItems containsMixedTypes="0" count="91">
        <s v="The University of Sheffield "/>
        <s v="The University of Birmingham "/>
        <s v="The University of Nottingham "/>
        <s v="University of Leeds "/>
        <s v="The University of Manchester "/>
        <s v="University of Leicester "/>
        <s v="Aston University, Birmingham "/>
        <s v="Nottingham Trent University "/>
        <s v="Coventry University "/>
        <s v="De Montfort University "/>
        <s v="Imperial College London "/>
        <s v="University of Bristol "/>
        <s v="King's College London (University of London) "/>
        <s v="University College London (University of London) "/>
        <s v="The University of Kent "/>
        <s v="The University of Essex "/>
        <s v="Lancaster University "/>
        <s v="The University of Stirling "/>
        <s v="Swansea University "/>
        <s v="University of East Anglia "/>
        <s v="Bath Spa University "/>
        <s v="Canterbury Christ Church University "/>
        <s v="University of Worcester "/>
        <s v="Keele University "/>
        <s v="University of Chichester "/>
        <s v="Northumbria University "/>
        <s v="Durham University "/>
        <s v="Leeds Metropolitan University "/>
        <s v="University of Cambridge "/>
        <s v="University of Southampton "/>
        <s v="The University of Edinburgh "/>
        <s v="The Manchester Metropolitan University "/>
        <s v="Staffordshire University "/>
        <s v="The University of Warwick "/>
        <s v="University of Derby "/>
        <s v="Newcastle College "/>
        <s v="Oxford University "/>
        <s v="Bournemouth University "/>
        <s v="University of Portsmouth "/>
        <s v="Royal Holloway, University of London "/>
        <s v="The University of Bradford "/>
        <s v="City University "/>
        <s v="Cardiff University "/>
        <s v="Birmingham City University "/>
        <s v="University of the West of England, Bristol "/>
        <s v="University of Central Lancashire "/>
        <s v="University of Exeter "/>
        <s v="University of Surrey "/>
        <s v="University of Sussex "/>
        <s v="Aberystwyth University "/>
        <s v="The University of Liverpool "/>
        <s v="University of Dundee "/>
        <s v="The University of Aberdeen "/>
        <s v="The University of York "/>
        <s v="University of Northampton "/>
        <s v="University of Greenwich "/>
        <s v="Buckinghamshire New University "/>
        <s v="Anglia Ruskin University "/>
        <s v="University Campus Suffolk "/>
        <s v="Queen Margaret University , Edinburgh "/>
        <s v="Edinburgh Napier University "/>
        <s v="University of Glasgow "/>
        <s v="Loughborough University "/>
        <s v="Kingston University "/>
        <s v="University of East London "/>
        <s v="Liverpool John Moores University "/>
        <s v="Newcastle University "/>
        <s v="University of Wolverhampton "/>
        <s v="University of Wales Institute, Cardiff "/>
        <s v="Bristol, City of Bristol College "/>
        <s v="The Arts University College at Bournemouth "/>
        <s v="Oxford Brookes University "/>
        <s v="University of Hertfordshire "/>
        <s v="St Mary's University College, Twickenham "/>
        <s v="University of Sunderland "/>
        <s v="New College Durham "/>
        <s v="Teesside University "/>
        <s v="Sheffield Hallam University "/>
        <s v="The University of Huddersfield "/>
        <s v="The University of Hull "/>
        <s v="University of Brighton "/>
        <s v="University for the Creative Arts (Formerly University College for the Creative Arts) "/>
        <s v="University College Falmouth "/>
        <s v="The University of Reading "/>
        <s v="London South Bank University "/>
        <s v="Middlesex University "/>
        <s v="London Metropolitan University "/>
        <s v="The University of Gloucestershire "/>
        <s v="University of Bolton "/>
        <s v="University of St Andrews "/>
        <s v="Brunel University "/>
      </sharedItems>
    </cacheField>
    <cacheField name="HEI region">
      <sharedItems containsMixedTypes="0"/>
    </cacheField>
    <cacheField name="JACS2 subject group">
      <sharedItems containsMixedTypes="0" count="19">
        <s v="Y Combined arts "/>
        <s v="Y Combined social sciences "/>
        <s v="Group N Business &amp; Admin studies "/>
        <s v="Group G Mathematical &amp; Comp Sci "/>
        <s v="Group C Biological Sciences "/>
        <s v="Group L Social Studies "/>
        <s v="Group H Engineering "/>
        <s v="Y Social sciences combined with arts "/>
        <s v="Group A Medicine &amp; Dentistry "/>
        <s v="Group B Subjects allied to Medicine "/>
        <s v="Y Combined sciences "/>
        <s v="Group J Technologies "/>
        <s v="Group W Creative Arts &amp; Design "/>
        <s v="Y Sciences combined with social sciences or arts "/>
        <s v="Group D Vet Sci,Ag &amp; related "/>
        <s v="Group P Mass Comms and Documentation "/>
        <s v="Z General, other combined &amp; unknown "/>
        <s v="Group V Hist &amp; Philosophical studies "/>
        <s v="Group M Law "/>
      </sharedItems>
    </cacheField>
    <cacheField name="JACS2 subject line">
      <sharedItems containsMixedTypes="0" count="55">
        <s v="Y Combs of languages with arts/humanities "/>
        <s v="Y Combs of soc studies/law with business "/>
        <s v="N3 - Finance "/>
        <s v="N1 - Business studies "/>
        <s v="N4 - Accounting "/>
        <s v="G4 - Computer Science "/>
        <s v="C7 - Molecular Biology,Biophysics &amp; Biochem "/>
        <s v="L9 - Others in Social Studies "/>
        <s v="L0 - Social Studies: any area of study "/>
        <s v="LL - Combinations within Social Studies "/>
        <s v="CC - Combinations within Biological Sciences "/>
        <s v="C8 - Psychology "/>
        <s v="NN - Combinations within Business &amp; Admin Studies "/>
        <s v="H3 - Mechanical Engineering "/>
        <s v="H1 - General Engineering "/>
        <s v="Y Combs of social studies/bus/law with arts/humanities "/>
        <s v="L3 - Sociology "/>
        <s v="A1 - Pre-clinical Medicine "/>
        <s v="B9 - Others in Subjects allied to Medicine "/>
        <s v="G6 - Software Engineering "/>
        <s v="HH - Combinations within Engineering "/>
        <s v="Y Combs of sciences with engineering/technology "/>
        <s v="H6 - Electronic and Electrical Engineering "/>
        <s v="J9 - Others in Technology "/>
        <s v="W3 - Music "/>
        <s v="Y Combs of science/engineering with arts/humanities/languages "/>
        <s v="C1 - Biology "/>
        <s v="B4 - Nutrition "/>
        <s v="Y Combs of med/bio/agric sciences "/>
        <s v="L2 - Politics "/>
        <s v="B7 - Nursing "/>
        <s v="A2 - Pre-clinical Dentistry "/>
        <s v="L1 - Economics "/>
        <s v="B1 - Anatomy,Physiology and Pathology "/>
        <s v="D5 - Forestry "/>
        <s v="P3 - Media studies "/>
        <s v="W4 - Drama "/>
        <s v="WW - Combinations within Creative Arts and Design "/>
        <s v="L7 - Human and Social Geography "/>
        <s v="Y Combs of phys/math science with arts/humanities/languages "/>
        <s v="Y Combs of science/engineering with social studies/bus/law "/>
        <s v="Z Combs of 3 subjects, or other general courses "/>
        <s v="W2 - Design studies "/>
        <s v="Y Combs of arts/humanities "/>
        <s v="V5 - Philosophy "/>
        <s v="M2 - Law by Topic "/>
        <s v="L5 - Social Work "/>
        <s v="W6 - Cinematics and Photography "/>
        <s v="M9 - Others in Law "/>
        <s v="Y Combs of soc studies/law "/>
        <s v="MM - Combinations within Law "/>
        <s v="V1 - History by Period "/>
        <s v="P2 - Publicity studies "/>
        <s v="C6 - Sports Science "/>
        <s v="M1 - Law by Area "/>
      </sharedItems>
    </cacheField>
    <cacheField name="Course code">
      <sharedItems containsMixedTypes="0" count="113">
        <s v="RV71 "/>
        <s v="VRC7 "/>
        <s v="RVT1 "/>
        <s v="NL31 "/>
        <s v="N300 "/>
        <s v="N100 "/>
        <s v="N341 "/>
        <s v="N420 "/>
        <s v="G460 "/>
        <s v="C700 "/>
        <s v="L0V0 "/>
        <s v="LL12 "/>
        <s v="CC18 "/>
        <s v="C8B9 "/>
        <s v="CCC8 "/>
        <s v="CC1V "/>
        <s v="C800 "/>
        <s v="N400 "/>
        <s v="NN43 "/>
        <s v="H300 "/>
        <s v="H100 "/>
        <s v="H301 "/>
        <s v="XL33 "/>
        <s v="L300 "/>
        <s v="LX33 "/>
        <s v="G400 "/>
        <s v="A100 "/>
        <s v="B900 "/>
        <s v="G401 "/>
        <s v="G610 "/>
        <s v="G402 "/>
        <s v="HHH6 "/>
        <s v="HB11 "/>
        <s v="H673 "/>
        <s v="BHV1 "/>
        <s v="BH99 "/>
        <s v="HB18 "/>
        <s v="J931 "/>
        <s v="W350 "/>
        <s v="JW9H "/>
        <s v="J932 "/>
        <s v="C100 "/>
        <s v="B4D6 "/>
        <s v="CD56 "/>
        <s v="C110 "/>
        <s v="L200 "/>
        <s v="L0C8 "/>
        <s v="CB81 "/>
        <s v="B750 "/>
        <s v="A200 "/>
        <s v="A206 "/>
        <s v="L112 "/>
        <s v="LN12 "/>
        <s v="LN11 "/>
        <s v="B100 "/>
        <s v="VL52 "/>
        <s v="D500 "/>
        <s v="B710 "/>
        <s v="B760 "/>
        <s v="B701 "/>
        <s v="P300 "/>
        <s v="P303 "/>
        <s v="W490 "/>
        <s v="QP33 "/>
        <s v="WW46 "/>
        <s v="LV71 "/>
        <s v="VL17 "/>
        <s v="L700 "/>
        <s v="VF18 "/>
        <s v="C890 "/>
        <s v="C816 "/>
        <s v="C810 "/>
        <s v="CM82 "/>
        <s v="Y001 "/>
        <s v="L000 "/>
        <s v="QW83 "/>
        <s v="W211 "/>
        <s v="W210 "/>
        <s v="P310 "/>
        <s v="WP99 "/>
        <s v="W280 "/>
        <s v="W293 "/>
        <s v="P314 "/>
        <s v="V500 "/>
        <s v="M211 "/>
        <s v="L502 "/>
        <s v="L500 "/>
        <s v="BL75 "/>
        <s v="LW33 "/>
        <s v="W340 "/>
        <s v="WW38 "/>
        <s v="W341 "/>
        <s v="W640 "/>
        <s v="W651 "/>
        <s v="M930 "/>
        <s v="LM39 "/>
        <s v="L350 "/>
        <s v="M9M1 "/>
        <s v="MM1X "/>
        <s v="PW3P "/>
        <s v="W610 "/>
        <s v="PWH8 "/>
        <s v="V100 "/>
        <s v="CV81 "/>
        <s v="VXD1 "/>
        <s v="P390 "/>
        <s v="G4W2 "/>
        <s v="H6W2 "/>
        <s v="W614 "/>
        <s v="H6WG "/>
        <s v="C601 "/>
        <s v="CB61 "/>
        <s v="M100 "/>
      </sharedItems>
    </cacheField>
    <cacheField name="Course title">
      <sharedItems containsMixedTypes="0" count="112">
        <s v="History and Russian "/>
        <s v="History and Russian Studies (4 years) "/>
        <s v="History and Russian (Beginners) "/>
        <s v="History and Russian B "/>
        <s v="Banking and Finance "/>
        <s v="Finance "/>
        <s v="Business "/>
        <s v="Finance and Investment "/>
        <s v="Accounting and Finance "/>
        <s v="Computing for Business "/>
        <s v="Biochemistry "/>
        <s v="Biochemistry (3 years or 4-year sandwich) "/>
        <s v="Philosophy, Politics and Economics "/>
        <s v="Politics, Philosophy and Economics "/>
        <s v="Economics and Politics "/>
        <s v="Biology/Psychology "/>
        <s v="Psychology with Health Studies "/>
        <s v="Human Biology and Psychology "/>
        <s v="Psychology "/>
        <s v="Accounting "/>
        <s v="Accounting &amp; Finance "/>
        <s v="Accounting &amp; Financial Management "/>
        <s v="Mechanical Engineering "/>
        <s v="Engineering (4 years) "/>
        <s v="Mechanical Engineering (4 years) "/>
        <s v="Engineering "/>
        <s v="Education Studies/Sociology "/>
        <s v="Sociology "/>
        <s v="Educational Studies and Sociology "/>
        <s v="Computing "/>
        <s v="Medicine (5 years) "/>
        <s v="Biomedical Science "/>
        <s v="Medicine "/>
        <s v="Medicine - MBChB Standard entry (5 years) "/>
        <s v="Computer Science "/>
        <s v="Computer Science (Year in Industry) "/>
        <s v="Medical Engineering "/>
        <s v="Bioengineering "/>
        <s v="Biomedical Engineering "/>
        <s v="Music Technology "/>
        <s v="Audio and Music Technology "/>
        <s v="Studio and Live Music Production "/>
        <s v="Biology "/>
        <s v="Biological Sciences "/>
        <s v="Nutrition and Food Science "/>
        <s v="Food Science and Microbiology (3 or 4 years) "/>
        <s v="Politics "/>
        <s v="Politics, Psychology and Sociology "/>
        <s v="Psychology with Neuroscience "/>
        <s v="Political Studies "/>
        <s v="Dental Hygiene and Therapy "/>
        <s v="Dental Hygiene and Dental Therapy "/>
        <s v="Dentistry (5 years) "/>
        <s v="Dental Surgery "/>
        <s v="Dentistry - Second BDS entry (5 years) "/>
        <s v="Economics and Management Sciences "/>
        <s v="Money, Banking and Finance "/>
        <s v="Economics and Management Studies "/>
        <s v="Economics and Management "/>
        <s v="Business Economics (3 or 4 years) "/>
        <s v="Medicine (first-year entry) "/>
        <s v="Medical Sciences "/>
        <s v="Forestry "/>
        <s v="Nursing (Mental Health) "/>
        <s v="Nursing (Mental Health Registration) "/>
        <s v="Nursing (Adult) "/>
        <s v="Mental Health Nursing "/>
        <s v="Film &amp; Media "/>
        <s v="Film and Media "/>
        <s v="Drama and Performance "/>
        <s v="English and Film "/>
        <s v="Film &amp; Television Studies/Theatre Studies "/>
        <s v="Geography and History "/>
        <s v="History and Human Geography "/>
        <s v="Geography "/>
        <s v="History and Geography "/>
        <s v="Forensic Psychology "/>
        <s v="Forensic Psychology and Criminal Justice "/>
        <s v="Combined Honours "/>
        <s v="Classical Literature &amp; Civilisation and Music "/>
        <s v="Graphic Communication "/>
        <s v="Graphic Design "/>
        <s v="Visual Communication (Graphic Communication) "/>
        <s v="Digital Media Production "/>
        <s v="Creative Writing/Media Communications "/>
        <s v="Media Practice "/>
        <s v="Commercial Video with Multimedia "/>
        <s v="Philosophy "/>
        <s v="Criminology "/>
        <s v="Social Work "/>
        <s v="Social Work and Nursing Studies (Mental Health) (Pre-Registration) "/>
        <s v="Nursing Studies (Adult Care) "/>
        <s v="Popular Music (Production) and Sociology "/>
        <s v="Popular Music "/>
        <s v="Popular Music/Creative Writing "/>
        <s v="Photography "/>
        <s v="Photography, Video and Digital Imaging "/>
        <s v="Criminology with Law "/>
        <s v="Criminology and Law "/>
        <s v="Film Production &amp; Film &amp; Media "/>
        <s v="Digital Film Production "/>
        <s v="Media, Writing &amp; Production "/>
        <s v="History "/>
        <s v="History/Psychology "/>
        <s v="History, Sociology and Professional Education "/>
        <s v="New Media "/>
        <s v="Multimedia Technology and Design "/>
        <s v="Multimedia "/>
        <s v="Multimedia Technology and Design (4 year Thick SW) "/>
        <s v="Sport &amp; Exercise Science (top-up) "/>
        <s v="Sport and Exercise Science (Exercise Physiology) "/>
        <s v="Law "/>
      </sharedItems>
    </cacheField>
    <cacheField name="Qualification type">
      <sharedItems containsMixedTypes="0"/>
    </cacheField>
    <cacheField name="Route">
      <sharedItems containsMixedTypes="0" count="3">
        <s v="Route A "/>
        <s v="Clearing "/>
        <s v="Extra "/>
      </sharedItems>
    </cacheField>
    <cacheField name="Overall count">
      <sharedItems containsSemiMixedTypes="0" containsString="0" containsMixedTypes="0" containsNumber="1" containsInteger="1"/>
    </cacheField>
    <cacheField name="Choices count">
      <sharedItems containsSemiMixedTypes="0" containsString="0" containsMixedTypes="0" containsNumber="1" containsInteger="1"/>
    </cacheField>
    <cacheField name="Accepted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colGrandTotals="0" itemPrintTitles="1" compactData="0" updatedVersion="2" indent="0" showMemberPropertyTips="1">
  <location ref="B14:E19" firstHeaderRow="1" firstDataRow="2" firstDataCol="1" rowPageCount="5" colPageCount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Page" compact="0" outline="0" subtotalTop="0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compact="0" outline="0" subtotalTop="0" showAll="0" defaultSubtotal="0"/>
    <pivotField axis="axisPage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outline="0" subtotalTop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compact="0" outline="0" subtotalTop="0" showAll="0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axis="axisPage" compact="0" outline="0" subtotalTop="0" showAll="0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7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5">
    <pageField fld="12" hier="0"/>
    <pageField fld="13" hier="0"/>
    <pageField fld="14" hier="0"/>
    <pageField fld="15" hier="0"/>
    <pageField fld="10" hier="0"/>
  </pageFields>
  <dataFields count="3">
    <dataField name="Sum of Overall count" fld="18" baseField="0" baseItem="0"/>
    <dataField name="Sum of Choices count" fld="19" baseField="0" baseItem="0"/>
    <dataField name="Sum of Accepted count" fld="20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UCAS">
      <a:dk1>
        <a:sysClr val="windowText" lastClr="000000"/>
      </a:dk1>
      <a:lt1>
        <a:sysClr val="window" lastClr="FFFFFF"/>
      </a:lt1>
      <a:dk2>
        <a:srgbClr val="9E948D"/>
      </a:dk2>
      <a:lt2>
        <a:srgbClr val="DFDBD8"/>
      </a:lt2>
      <a:accent1>
        <a:srgbClr val="D81F2A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9FEE"/>
    <pageSetUpPr fitToPage="1"/>
  </sheetPr>
  <dimension ref="B5:Q32"/>
  <sheetViews>
    <sheetView showGridLines="0" showRowColHeader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9.140625" style="6" customWidth="1"/>
    <col min="2" max="2" width="2.140625" style="6" customWidth="1"/>
    <col min="3" max="3" width="19.8515625" style="6" customWidth="1"/>
    <col min="4" max="16384" width="9.140625" style="6" customWidth="1"/>
  </cols>
  <sheetData>
    <row r="1" ht="12.75"/>
    <row r="2" ht="12.75"/>
    <row r="3" ht="12.75"/>
    <row r="4" ht="12.75"/>
    <row r="5" spans="3:17" ht="15.75">
      <c r="C5" s="7"/>
      <c r="Q5" s="8"/>
    </row>
    <row r="6" spans="2:17" ht="15.75">
      <c r="B6" s="48" t="s">
        <v>274</v>
      </c>
      <c r="Q6" s="9" t="s">
        <v>1622</v>
      </c>
    </row>
    <row r="7" ht="14.25" thickBot="1"/>
    <row r="8" spans="2:17" ht="1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2:17" ht="15">
      <c r="B9" s="3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7"/>
    </row>
    <row r="10" spans="2:17" ht="15">
      <c r="B10" s="3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7"/>
    </row>
    <row r="11" spans="2:17" ht="15">
      <c r="B11" s="36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3"/>
      <c r="N11" s="22"/>
      <c r="O11" s="22"/>
      <c r="P11" s="22"/>
      <c r="Q11" s="37"/>
    </row>
    <row r="12" spans="2:17" ht="15">
      <c r="B12" s="36"/>
      <c r="C12" s="42" t="s">
        <v>275</v>
      </c>
      <c r="D12" s="25"/>
      <c r="E12" s="14" t="s">
        <v>1354</v>
      </c>
      <c r="F12" s="26"/>
      <c r="G12" s="26"/>
      <c r="H12" s="22"/>
      <c r="I12" s="22"/>
      <c r="J12" s="27"/>
      <c r="K12" s="27"/>
      <c r="L12" s="26"/>
      <c r="M12" s="26"/>
      <c r="N12" s="22"/>
      <c r="O12" s="22"/>
      <c r="P12" s="22"/>
      <c r="Q12" s="37"/>
    </row>
    <row r="13" spans="2:17" ht="15">
      <c r="B13" s="36"/>
      <c r="C13" s="43"/>
      <c r="D13" s="28"/>
      <c r="E13" s="18"/>
      <c r="F13" s="29"/>
      <c r="G13" s="27"/>
      <c r="H13" s="27"/>
      <c r="I13" s="22"/>
      <c r="J13" s="22"/>
      <c r="K13" s="22"/>
      <c r="L13" s="29"/>
      <c r="M13" s="27"/>
      <c r="N13" s="22"/>
      <c r="O13" s="22"/>
      <c r="P13" s="22"/>
      <c r="Q13" s="37"/>
    </row>
    <row r="14" spans="2:17" ht="15">
      <c r="B14" s="36"/>
      <c r="C14" s="42" t="s">
        <v>276</v>
      </c>
      <c r="D14" s="28"/>
      <c r="E14" s="14">
        <v>99999</v>
      </c>
      <c r="F14" s="29"/>
      <c r="G14" s="27"/>
      <c r="H14" s="27"/>
      <c r="I14" s="22"/>
      <c r="J14" s="22"/>
      <c r="K14" s="22"/>
      <c r="L14" s="29"/>
      <c r="M14" s="27"/>
      <c r="N14" s="22"/>
      <c r="O14" s="22"/>
      <c r="P14" s="22"/>
      <c r="Q14" s="37"/>
    </row>
    <row r="15" spans="2:17" ht="15">
      <c r="B15" s="36"/>
      <c r="C15" s="43"/>
      <c r="D15" s="28"/>
      <c r="E15" s="18"/>
      <c r="F15" s="29"/>
      <c r="G15" s="27"/>
      <c r="H15" s="27"/>
      <c r="I15" s="22"/>
      <c r="J15" s="22"/>
      <c r="K15" s="22"/>
      <c r="L15" s="29"/>
      <c r="M15" s="27"/>
      <c r="N15" s="22"/>
      <c r="O15" s="22"/>
      <c r="P15" s="22"/>
      <c r="Q15" s="37"/>
    </row>
    <row r="16" spans="2:17" ht="15">
      <c r="B16" s="36"/>
      <c r="C16" s="42" t="s">
        <v>91</v>
      </c>
      <c r="D16" s="25"/>
      <c r="E16" s="14" t="s">
        <v>1625</v>
      </c>
      <c r="F16" s="27"/>
      <c r="G16" s="27"/>
      <c r="H16" s="27"/>
      <c r="I16" s="22"/>
      <c r="J16" s="22"/>
      <c r="K16" s="22"/>
      <c r="L16" s="22"/>
      <c r="M16" s="22"/>
      <c r="N16" s="22"/>
      <c r="O16" s="22"/>
      <c r="P16" s="22"/>
      <c r="Q16" s="37"/>
    </row>
    <row r="17" spans="2:17" ht="15">
      <c r="B17" s="36"/>
      <c r="C17" s="42"/>
      <c r="D17" s="25"/>
      <c r="E17" s="14"/>
      <c r="F17" s="27"/>
      <c r="G17" s="27"/>
      <c r="H17" s="27"/>
      <c r="I17" s="22"/>
      <c r="J17" s="22"/>
      <c r="K17" s="22"/>
      <c r="L17" s="22"/>
      <c r="M17" s="22"/>
      <c r="N17" s="22"/>
      <c r="O17" s="22"/>
      <c r="P17" s="22"/>
      <c r="Q17" s="37"/>
    </row>
    <row r="18" spans="2:17" ht="15">
      <c r="B18" s="36"/>
      <c r="C18" s="12"/>
      <c r="D18" s="25"/>
      <c r="E18" s="14" t="s">
        <v>1624</v>
      </c>
      <c r="F18" s="27"/>
      <c r="G18" s="27"/>
      <c r="H18" s="27"/>
      <c r="I18" s="22"/>
      <c r="J18" s="22"/>
      <c r="K18" s="22"/>
      <c r="L18" s="22"/>
      <c r="M18" s="22"/>
      <c r="N18" s="22"/>
      <c r="O18" s="22"/>
      <c r="P18" s="22"/>
      <c r="Q18" s="37"/>
    </row>
    <row r="19" spans="2:17" ht="15">
      <c r="B19" s="36"/>
      <c r="C19" s="12"/>
      <c r="D19" s="25"/>
      <c r="E19" s="14"/>
      <c r="F19" s="27"/>
      <c r="G19" s="27"/>
      <c r="H19" s="27"/>
      <c r="I19" s="22"/>
      <c r="J19" s="22"/>
      <c r="K19" s="22"/>
      <c r="L19" s="22"/>
      <c r="M19" s="22"/>
      <c r="N19" s="22"/>
      <c r="O19" s="22"/>
      <c r="P19" s="22"/>
      <c r="Q19" s="37"/>
    </row>
    <row r="20" spans="2:17" ht="15">
      <c r="B20" s="36"/>
      <c r="C20" s="23"/>
      <c r="D20" s="23"/>
      <c r="E20" s="14"/>
      <c r="F20" s="26"/>
      <c r="G20" s="26"/>
      <c r="H20" s="22"/>
      <c r="I20" s="26"/>
      <c r="J20" s="26"/>
      <c r="K20" s="26"/>
      <c r="L20" s="26"/>
      <c r="M20" s="26"/>
      <c r="N20" s="22"/>
      <c r="O20" s="22"/>
      <c r="P20" s="22"/>
      <c r="Q20" s="37"/>
    </row>
    <row r="21" spans="2:17" ht="23.25">
      <c r="B21" s="36"/>
      <c r="C21" s="22"/>
      <c r="D21" s="44" t="s">
        <v>1623</v>
      </c>
      <c r="E21" s="27" t="s">
        <v>145</v>
      </c>
      <c r="F21" s="26"/>
      <c r="G21" s="22"/>
      <c r="H21" s="30" t="s">
        <v>1606</v>
      </c>
      <c r="I21" s="22"/>
      <c r="J21" s="27"/>
      <c r="K21" s="27"/>
      <c r="L21" s="26"/>
      <c r="M21" s="26"/>
      <c r="N21" s="22"/>
      <c r="O21" s="22"/>
      <c r="P21" s="22"/>
      <c r="Q21" s="37"/>
    </row>
    <row r="22" spans="2:17" ht="23.25">
      <c r="B22" s="36"/>
      <c r="C22" s="28"/>
      <c r="D22" s="44" t="s">
        <v>1623</v>
      </c>
      <c r="E22" s="27" t="s">
        <v>146</v>
      </c>
      <c r="F22" s="29"/>
      <c r="G22" s="22"/>
      <c r="H22" s="30" t="s">
        <v>1605</v>
      </c>
      <c r="I22" s="22"/>
      <c r="J22" s="22"/>
      <c r="K22" s="22"/>
      <c r="L22" s="29"/>
      <c r="M22" s="27"/>
      <c r="N22" s="22"/>
      <c r="O22" s="22"/>
      <c r="P22" s="22"/>
      <c r="Q22" s="37"/>
    </row>
    <row r="23" spans="2:17" ht="23.25">
      <c r="B23" s="36"/>
      <c r="C23" s="22"/>
      <c r="D23" s="44" t="s">
        <v>1623</v>
      </c>
      <c r="E23" s="27" t="s">
        <v>1604</v>
      </c>
      <c r="F23" s="30"/>
      <c r="G23" s="22"/>
      <c r="H23" s="30" t="s">
        <v>1603</v>
      </c>
      <c r="I23" s="22"/>
      <c r="J23" s="22"/>
      <c r="K23" s="22"/>
      <c r="L23" s="22"/>
      <c r="M23" s="22"/>
      <c r="N23" s="22"/>
      <c r="O23" s="22"/>
      <c r="P23" s="22"/>
      <c r="Q23" s="37"/>
    </row>
    <row r="24" spans="2:17" ht="23.25">
      <c r="B24" s="36"/>
      <c r="C24" s="22"/>
      <c r="D24" s="44" t="s">
        <v>1623</v>
      </c>
      <c r="E24" s="27" t="s">
        <v>147</v>
      </c>
      <c r="F24" s="22"/>
      <c r="G24" s="22"/>
      <c r="H24" s="30" t="s">
        <v>1602</v>
      </c>
      <c r="I24" s="22"/>
      <c r="J24" s="22"/>
      <c r="K24" s="22"/>
      <c r="L24" s="22"/>
      <c r="M24" s="22"/>
      <c r="N24" s="22"/>
      <c r="O24" s="22"/>
      <c r="P24" s="22"/>
      <c r="Q24" s="37"/>
    </row>
    <row r="25" spans="2:17" ht="23.25">
      <c r="B25" s="36"/>
      <c r="C25" s="22"/>
      <c r="D25" s="44" t="s">
        <v>1623</v>
      </c>
      <c r="E25" s="27" t="s">
        <v>1601</v>
      </c>
      <c r="F25" s="22"/>
      <c r="G25" s="22"/>
      <c r="H25" s="30" t="s">
        <v>1600</v>
      </c>
      <c r="I25" s="22"/>
      <c r="J25" s="22"/>
      <c r="K25" s="22"/>
      <c r="L25" s="22"/>
      <c r="M25" s="22"/>
      <c r="N25" s="22"/>
      <c r="O25" s="22"/>
      <c r="P25" s="22"/>
      <c r="Q25" s="37"/>
    </row>
    <row r="26" spans="2:17" ht="23.25">
      <c r="B26" s="36"/>
      <c r="C26" s="22"/>
      <c r="D26" s="44" t="s">
        <v>1623</v>
      </c>
      <c r="E26" s="27" t="s">
        <v>1626</v>
      </c>
      <c r="F26" s="22"/>
      <c r="G26" s="22"/>
      <c r="H26" s="30" t="s">
        <v>1628</v>
      </c>
      <c r="I26" s="22"/>
      <c r="J26" s="22"/>
      <c r="K26" s="22"/>
      <c r="L26" s="22"/>
      <c r="M26" s="22"/>
      <c r="N26" s="22"/>
      <c r="O26" s="22"/>
      <c r="P26" s="22"/>
      <c r="Q26" s="37"/>
    </row>
    <row r="27" spans="2:17" ht="23.25">
      <c r="B27" s="36"/>
      <c r="C27" s="22"/>
      <c r="D27" s="44" t="s">
        <v>1623</v>
      </c>
      <c r="E27" s="27" t="s">
        <v>1627</v>
      </c>
      <c r="F27" s="22"/>
      <c r="G27" s="22"/>
      <c r="H27" s="30" t="s">
        <v>1629</v>
      </c>
      <c r="I27" s="22"/>
      <c r="J27" s="22"/>
      <c r="K27" s="22"/>
      <c r="L27" s="22"/>
      <c r="M27" s="22"/>
      <c r="N27" s="22"/>
      <c r="O27" s="22"/>
      <c r="P27" s="22"/>
      <c r="Q27" s="37"/>
    </row>
    <row r="28" spans="2:17" ht="23.25">
      <c r="B28" s="36"/>
      <c r="C28" s="22"/>
      <c r="D28" s="44" t="s">
        <v>1623</v>
      </c>
      <c r="E28" s="27" t="s">
        <v>1599</v>
      </c>
      <c r="F28" s="22"/>
      <c r="G28" s="22"/>
      <c r="H28" s="30" t="s">
        <v>1630</v>
      </c>
      <c r="I28" s="22"/>
      <c r="J28" s="22"/>
      <c r="K28" s="22"/>
      <c r="L28" s="22"/>
      <c r="M28" s="22"/>
      <c r="N28" s="22"/>
      <c r="O28" s="22"/>
      <c r="P28" s="22"/>
      <c r="Q28" s="37"/>
    </row>
    <row r="29" spans="2:17" ht="23.25">
      <c r="B29" s="36"/>
      <c r="C29" s="22"/>
      <c r="D29" s="44"/>
      <c r="E29" s="32"/>
      <c r="F29" s="22"/>
      <c r="G29" s="22"/>
      <c r="H29" s="31"/>
      <c r="I29" s="22"/>
      <c r="J29" s="22"/>
      <c r="K29" s="22"/>
      <c r="L29" s="22"/>
      <c r="M29" s="22"/>
      <c r="N29" s="22"/>
      <c r="O29" s="22"/>
      <c r="P29" s="22"/>
      <c r="Q29" s="37"/>
    </row>
    <row r="30" spans="2:17" ht="15">
      <c r="B30" s="36"/>
      <c r="C30" s="22"/>
      <c r="D30" s="22"/>
      <c r="E30" s="32"/>
      <c r="F30" s="22"/>
      <c r="G30" s="22"/>
      <c r="H30" s="31"/>
      <c r="I30" s="22"/>
      <c r="J30" s="22"/>
      <c r="K30" s="22"/>
      <c r="L30" s="22"/>
      <c r="M30" s="22"/>
      <c r="N30" s="22"/>
      <c r="O30" s="22"/>
      <c r="P30" s="22"/>
      <c r="Q30" s="37"/>
    </row>
    <row r="31" spans="2:17" ht="15.75" thickBot="1">
      <c r="B31" s="38"/>
      <c r="C31" s="39"/>
      <c r="D31" s="39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1"/>
    </row>
    <row r="32" ht="13.5">
      <c r="E32" s="21"/>
    </row>
  </sheetData>
  <sheetProtection/>
  <hyperlinks>
    <hyperlink ref="D21" location="summary!A1" display="&gt;"/>
    <hyperlink ref="D22" location="characteristics!A1" display="&gt;"/>
    <hyperlink ref="D23" location="universities!A1" display="&gt;"/>
    <hyperlink ref="D24" location="subjects!A1" display="&gt;"/>
    <hyperlink ref="D25" location="'universities and subjects'!A1" display="&gt;"/>
    <hyperlink ref="D26" location="'your applicants (2012)'!A1" display="&gt;"/>
    <hyperlink ref="D27" location="'all choices (2012)'!A1" display="&gt;"/>
    <hyperlink ref="D28" location="'DIY analysis'!A1" display="&gt;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9FEE"/>
    <pageSetUpPr fitToPage="1"/>
  </sheetPr>
  <dimension ref="B4:N51"/>
  <sheetViews>
    <sheetView showGridLines="0" showRowColHeaders="0" zoomScalePageLayoutView="0" workbookViewId="0" topLeftCell="A1">
      <selection activeCell="Q38" sqref="Q38"/>
    </sheetView>
  </sheetViews>
  <sheetFormatPr defaultColWidth="9.140625" defaultRowHeight="12.75"/>
  <cols>
    <col min="1" max="1" width="9.140625" style="6" customWidth="1"/>
    <col min="2" max="2" width="2.57421875" style="6" customWidth="1"/>
    <col min="3" max="3" width="17.421875" style="6" customWidth="1"/>
    <col min="4" max="4" width="9.28125" style="6" customWidth="1"/>
    <col min="5" max="5" width="9.28125" style="6" bestFit="1" customWidth="1"/>
    <col min="6" max="7" width="16.8515625" style="6" customWidth="1"/>
    <col min="8" max="8" width="2.421875" style="6" customWidth="1"/>
    <col min="9" max="9" width="17.421875" style="6" customWidth="1"/>
    <col min="10" max="10" width="9.8515625" style="6" bestFit="1" customWidth="1"/>
    <col min="11" max="11" width="10.140625" style="6" bestFit="1" customWidth="1"/>
    <col min="12" max="13" width="16.8515625" style="6" customWidth="1"/>
    <col min="14" max="14" width="3.140625" style="6" customWidth="1"/>
    <col min="15" max="16384" width="9.140625" style="6" customWidth="1"/>
  </cols>
  <sheetData>
    <row r="1" ht="12.75"/>
    <row r="2" ht="12.75"/>
    <row r="3" ht="12.75"/>
    <row r="4" ht="15.75">
      <c r="C4" s="48" t="s">
        <v>274</v>
      </c>
    </row>
    <row r="5" ht="12.75">
      <c r="N5" s="5" t="s">
        <v>1622</v>
      </c>
    </row>
    <row r="6" ht="13.5" thickBot="1"/>
    <row r="7" spans="2:14" ht="13.5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2:14" ht="13.5">
      <c r="B8" s="52"/>
      <c r="C8" s="53" t="s">
        <v>289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54"/>
    </row>
    <row r="9" spans="2:14" ht="13.5">
      <c r="B9" s="5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4"/>
    </row>
    <row r="10" spans="2:14" ht="13.5">
      <c r="B10" s="52"/>
      <c r="C10" s="76" t="s">
        <v>277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4"/>
    </row>
    <row r="11" spans="2:14" ht="13.5">
      <c r="B11" s="52"/>
      <c r="C11" s="298" t="s">
        <v>1354</v>
      </c>
      <c r="D11" s="299"/>
      <c r="E11" s="299"/>
      <c r="F11" s="299"/>
      <c r="G11" s="300"/>
      <c r="H11" s="11"/>
      <c r="I11" s="298" t="s">
        <v>5</v>
      </c>
      <c r="J11" s="299"/>
      <c r="K11" s="299"/>
      <c r="L11" s="299"/>
      <c r="M11" s="300"/>
      <c r="N11" s="54"/>
    </row>
    <row r="12" spans="2:14" ht="13.5">
      <c r="B12" s="52"/>
      <c r="C12" s="74"/>
      <c r="D12" s="75">
        <v>2012</v>
      </c>
      <c r="E12" s="75">
        <v>2013</v>
      </c>
      <c r="F12" s="294" t="s">
        <v>0</v>
      </c>
      <c r="G12" s="295"/>
      <c r="H12" s="17"/>
      <c r="I12" s="74"/>
      <c r="J12" s="75">
        <v>2012</v>
      </c>
      <c r="K12" s="75">
        <v>2013</v>
      </c>
      <c r="L12" s="294" t="s">
        <v>0</v>
      </c>
      <c r="M12" s="295"/>
      <c r="N12" s="54"/>
    </row>
    <row r="13" spans="2:14" ht="13.5">
      <c r="B13" s="52"/>
      <c r="C13" s="60" t="s">
        <v>71</v>
      </c>
      <c r="D13" s="61">
        <v>650</v>
      </c>
      <c r="E13" s="61">
        <v>623</v>
      </c>
      <c r="F13" s="77">
        <f>IF($D13=0,"",IF(($E13-$D13)/$D13*100&lt;0,ROUND(($E13-$D13)/$D13*100,1),""))</f>
        <v>-4.2</v>
      </c>
      <c r="G13" s="62">
        <f>IF($D13=0,"",IF(($E13-$D13)/$D13*100&gt;0,ROUND(($E13-$D13)/$D13*100,1),""))</f>
      </c>
      <c r="H13" s="13"/>
      <c r="I13" s="60" t="s">
        <v>71</v>
      </c>
      <c r="J13" s="69">
        <v>697351</v>
      </c>
      <c r="K13" s="61">
        <v>700161</v>
      </c>
      <c r="L13" s="77">
        <f>IF($J13=0,"",IF(($K13-$J13)/$J13*100&lt;0,ROUND(($K13-$J13)/$J13*100,1),""))</f>
      </c>
      <c r="M13" s="70">
        <f>IF($J13=0,"",IF(($K13-$J13)/$J13*100&gt;0,ROUND(($K13-$J13)/$J13*100,1),""))</f>
        <v>0.4</v>
      </c>
      <c r="N13" s="54"/>
    </row>
    <row r="14" spans="2:14" ht="13.5">
      <c r="B14" s="52"/>
      <c r="C14" s="63" t="s">
        <v>46</v>
      </c>
      <c r="D14" s="46">
        <v>2568</v>
      </c>
      <c r="E14" s="46">
        <v>2756</v>
      </c>
      <c r="F14" s="78">
        <f>IF($D14=0,"",IF(($E14-$D14)/$D14*100&lt;0,ROUND(($E14-$D14)/$D14*100,1),""))</f>
      </c>
      <c r="G14" s="64">
        <f>IF($D14=0,"",IF(($E14-$D14)/$D14*100&gt;0,ROUND(($E14-$D14)/$D14*100,1),""))</f>
        <v>7.3</v>
      </c>
      <c r="H14" s="13"/>
      <c r="I14" s="63" t="s">
        <v>46</v>
      </c>
      <c r="J14" s="47">
        <v>2720498</v>
      </c>
      <c r="K14" s="46">
        <v>2847015</v>
      </c>
      <c r="L14" s="78">
        <f>IF($J14=0,"",IF(($K14-$J14)/$J14*100&lt;0,ROUND(($K14-$J14)/$J14*100,1),""))</f>
      </c>
      <c r="M14" s="71">
        <f>IF($J14=0,"",IF(($K14-$J14)/$J14*100&gt;0,ROUND(($K14-$J14)/$J14*100,1),""))</f>
        <v>4.7</v>
      </c>
      <c r="N14" s="54"/>
    </row>
    <row r="15" spans="2:14" ht="13.5">
      <c r="B15" s="52"/>
      <c r="C15" s="65" t="s">
        <v>47</v>
      </c>
      <c r="D15" s="66">
        <v>560</v>
      </c>
      <c r="E15" s="66">
        <v>533</v>
      </c>
      <c r="F15" s="79">
        <f>IF($D15=0,"",IF(($E15-$D15)/$D15*100&lt;0,ROUND(($E15-$D15)/$D15*100,1),""))</f>
        <v>-4.8</v>
      </c>
      <c r="G15" s="68">
        <f>IF($D15=0,"",IF(($E15-$D15)/$D15*100&gt;0,ROUND(($E15-$D15)/$D15*100,1),""))</f>
      </c>
      <c r="H15" s="13"/>
      <c r="I15" s="65" t="s">
        <v>47</v>
      </c>
      <c r="J15" s="72">
        <v>487329</v>
      </c>
      <c r="K15" s="66">
        <v>492030</v>
      </c>
      <c r="L15" s="67">
        <f>IF($J15=0,"",IF(($K15-$J15)/$J15*100&lt;0,ROUND(($K15-$J15)/$J15*100,1),""))</f>
      </c>
      <c r="M15" s="73">
        <f>IF($J15=0,"",IF(($K15-$J15)/$J15*100&gt;0,ROUND(($K15-$J15)/$J15*100,1),""))</f>
        <v>1</v>
      </c>
      <c r="N15" s="54"/>
    </row>
    <row r="16" spans="2:14" ht="13.5">
      <c r="B16" s="52"/>
      <c r="C16" s="13"/>
      <c r="D16" s="13"/>
      <c r="E16" s="13"/>
      <c r="F16" s="13"/>
      <c r="G16" s="13"/>
      <c r="H16" s="13"/>
      <c r="I16" s="17"/>
      <c r="J16" s="10"/>
      <c r="K16" s="10"/>
      <c r="L16" s="16"/>
      <c r="M16" s="10"/>
      <c r="N16" s="54"/>
    </row>
    <row r="17" spans="2:14" ht="13.5">
      <c r="B17" s="52"/>
      <c r="C17" s="298" t="s">
        <v>1354</v>
      </c>
      <c r="D17" s="299"/>
      <c r="E17" s="299"/>
      <c r="F17" s="299"/>
      <c r="G17" s="300"/>
      <c r="H17" s="11"/>
      <c r="I17" s="298" t="s">
        <v>5</v>
      </c>
      <c r="J17" s="299"/>
      <c r="K17" s="299"/>
      <c r="L17" s="299"/>
      <c r="M17" s="300"/>
      <c r="N17" s="54"/>
    </row>
    <row r="18" spans="2:14" ht="13.5">
      <c r="B18" s="52"/>
      <c r="C18" s="74"/>
      <c r="D18" s="75">
        <v>2012</v>
      </c>
      <c r="E18" s="75">
        <v>2013</v>
      </c>
      <c r="F18" s="294"/>
      <c r="G18" s="295"/>
      <c r="H18" s="17"/>
      <c r="I18" s="74"/>
      <c r="J18" s="75">
        <v>2012</v>
      </c>
      <c r="K18" s="75">
        <v>2013</v>
      </c>
      <c r="L18" s="294"/>
      <c r="M18" s="295"/>
      <c r="N18" s="54"/>
    </row>
    <row r="19" spans="2:14" ht="12.75" customHeight="1">
      <c r="B19" s="52"/>
      <c r="C19" s="305" t="s">
        <v>290</v>
      </c>
      <c r="D19" s="311">
        <f>IF(D13=0,"",D15/D13)</f>
        <v>0.8615384615384616</v>
      </c>
      <c r="E19" s="311">
        <f>IF(E13=0,"",E15/E13)</f>
        <v>0.85553772070626</v>
      </c>
      <c r="F19" s="303"/>
      <c r="G19" s="296"/>
      <c r="H19" s="13"/>
      <c r="I19" s="305" t="s">
        <v>290</v>
      </c>
      <c r="J19" s="311">
        <f>J15/J13</f>
        <v>0.6988288537623091</v>
      </c>
      <c r="K19" s="301">
        <f>K15/K13</f>
        <v>0.7027383701748597</v>
      </c>
      <c r="L19" s="307"/>
      <c r="M19" s="309"/>
      <c r="N19" s="54"/>
    </row>
    <row r="20" spans="2:14" ht="12.75" customHeight="1">
      <c r="B20" s="52"/>
      <c r="C20" s="306"/>
      <c r="D20" s="312"/>
      <c r="E20" s="312"/>
      <c r="F20" s="304"/>
      <c r="G20" s="297"/>
      <c r="H20" s="13"/>
      <c r="I20" s="306"/>
      <c r="J20" s="312"/>
      <c r="K20" s="302"/>
      <c r="L20" s="308"/>
      <c r="M20" s="310"/>
      <c r="N20" s="54"/>
    </row>
    <row r="21" spans="2:14" ht="13.5">
      <c r="B21" s="52"/>
      <c r="C21" s="13"/>
      <c r="D21" s="13"/>
      <c r="E21" s="13"/>
      <c r="F21" s="13"/>
      <c r="G21" s="13"/>
      <c r="H21" s="13"/>
      <c r="I21" s="17"/>
      <c r="J21" s="10"/>
      <c r="K21" s="10"/>
      <c r="L21" s="16"/>
      <c r="M21" s="10"/>
      <c r="N21" s="54"/>
    </row>
    <row r="22" spans="2:14" ht="13.5">
      <c r="B22" s="52"/>
      <c r="C22" s="298" t="s">
        <v>1621</v>
      </c>
      <c r="D22" s="299"/>
      <c r="E22" s="299"/>
      <c r="F22" s="299"/>
      <c r="G22" s="300"/>
      <c r="H22" s="10"/>
      <c r="I22" s="298" t="s">
        <v>70</v>
      </c>
      <c r="J22" s="299"/>
      <c r="K22" s="299"/>
      <c r="L22" s="299"/>
      <c r="M22" s="300"/>
      <c r="N22" s="54"/>
    </row>
    <row r="23" spans="2:14" ht="13.5">
      <c r="B23" s="52"/>
      <c r="C23" s="74"/>
      <c r="D23" s="75">
        <v>2012</v>
      </c>
      <c r="E23" s="75">
        <v>2013</v>
      </c>
      <c r="F23" s="294" t="s">
        <v>0</v>
      </c>
      <c r="G23" s="295"/>
      <c r="H23" s="10"/>
      <c r="I23" s="74"/>
      <c r="J23" s="75">
        <v>2012</v>
      </c>
      <c r="K23" s="75">
        <v>2013</v>
      </c>
      <c r="L23" s="294" t="s">
        <v>0</v>
      </c>
      <c r="M23" s="295"/>
      <c r="N23" s="54"/>
    </row>
    <row r="24" spans="2:14" ht="13.5">
      <c r="B24" s="52"/>
      <c r="C24" s="60" t="s">
        <v>4</v>
      </c>
      <c r="D24" s="61">
        <v>465</v>
      </c>
      <c r="E24" s="61">
        <v>452</v>
      </c>
      <c r="F24" s="77">
        <f>IF($D24=0,"",IF(($E24-$D24)/$D24*100&lt;0,ROUND(($E24-$D24)/$D24*100,1),""))</f>
        <v>-2.8</v>
      </c>
      <c r="G24" s="62">
        <f>IF($D24=0,"",IF(($E24-$D24)/$D24*100&gt;0,ROUND(($E24-$D24)/$D24*100,1),""))</f>
      </c>
      <c r="H24" s="10"/>
      <c r="I24" s="60" t="s">
        <v>4</v>
      </c>
      <c r="J24" s="69">
        <v>409994</v>
      </c>
      <c r="K24" s="61">
        <v>415340</v>
      </c>
      <c r="L24" s="77">
        <f>IF($J24=0,"",IF(($K24-$J24)/$J24*100&lt;0,ROUND(($K24-$J24)/$J24*100,1),""))</f>
      </c>
      <c r="M24" s="70">
        <f>IF($J24=0,"",IF(($K24-$J24)/$J24*100&gt;0,ROUND(($K24-$J24)/$J24*100,1),""))</f>
        <v>1.3</v>
      </c>
      <c r="N24" s="54"/>
    </row>
    <row r="25" spans="2:14" ht="13.5">
      <c r="B25" s="52"/>
      <c r="C25" s="63" t="s">
        <v>1</v>
      </c>
      <c r="D25" s="46">
        <v>15</v>
      </c>
      <c r="E25" s="46">
        <v>10</v>
      </c>
      <c r="F25" s="78">
        <f>IF($D25=0,"",IF(($E25-$D25)/$D25*100&lt;0,ROUND(($E25-$D25)/$D25*100,1),""))</f>
        <v>-33.3</v>
      </c>
      <c r="G25" s="64">
        <f>IF($D25=0,"",IF(($E25-$D25)/$D25*100&gt;0,ROUND(($E25-$D25)/$D25*100,1),""))</f>
      </c>
      <c r="H25" s="10"/>
      <c r="I25" s="63" t="s">
        <v>1</v>
      </c>
      <c r="J25" s="47">
        <v>7018</v>
      </c>
      <c r="K25" s="46">
        <v>9537</v>
      </c>
      <c r="L25" s="78">
        <f>IF($J25=0,"",IF(($K25-$J25)/$J25*100&lt;0,ROUND(($K25-$J25)/$J25*100,1),""))</f>
      </c>
      <c r="M25" s="71">
        <f>IF($J25=0,"",IF(($K25-$J25)/$J25*100&gt;0,ROUND(($K25-$J25)/$J25*100,1),""))</f>
        <v>35.9</v>
      </c>
      <c r="N25" s="54"/>
    </row>
    <row r="26" spans="2:14" ht="13.5">
      <c r="B26" s="52"/>
      <c r="C26" s="63" t="s">
        <v>2</v>
      </c>
      <c r="D26" s="46">
        <v>80</v>
      </c>
      <c r="E26" s="46">
        <v>69</v>
      </c>
      <c r="F26" s="78">
        <f>IF($D26=0,"",IF(($E26-$D26)/$D26*100&lt;0,ROUND(($E26-$D26)/$D26*100,1),""))</f>
        <v>-13.8</v>
      </c>
      <c r="G26" s="64">
        <f>IF($D26=0,"",IF(($E26-$D26)/$D26*100&gt;0,ROUND(($E26-$D26)/$D26*100,1),""))</f>
      </c>
      <c r="H26" s="10"/>
      <c r="I26" s="63" t="s">
        <v>2</v>
      </c>
      <c r="J26" s="47">
        <v>46925</v>
      </c>
      <c r="K26" s="46">
        <v>51169</v>
      </c>
      <c r="L26" s="78">
        <f>IF($J26=0,"",IF(($K26-$J26)/$J26*100&lt;0,ROUND(($K26-$J26)/$J26*100,1),""))</f>
      </c>
      <c r="M26" s="71">
        <f>IF($J26=0,"",IF(($K26-$J26)/$J26*100&gt;0,ROUND(($K26-$J26)/$J26*100,1),""))</f>
        <v>9</v>
      </c>
      <c r="N26" s="54"/>
    </row>
    <row r="27" spans="2:14" ht="13.5">
      <c r="B27" s="52"/>
      <c r="C27" s="63" t="s">
        <v>278</v>
      </c>
      <c r="D27" s="46">
        <v>0</v>
      </c>
      <c r="E27" s="46">
        <v>2</v>
      </c>
      <c r="F27" s="78">
        <f>IF($D27=0,"",IF(($E27-$D27)/$D27*100&lt;0,ROUND(($E27-$D27)/$D27*100,1),""))</f>
      </c>
      <c r="G27" s="64">
        <f>IF($D27=0,"",IF(($E27-$D27)/$D27*100&gt;0,ROUND(($E27-$D27)/$D27*100,1),""))</f>
      </c>
      <c r="H27" s="10"/>
      <c r="I27" s="63" t="s">
        <v>278</v>
      </c>
      <c r="J27" s="47">
        <v>377</v>
      </c>
      <c r="K27" s="46">
        <v>552</v>
      </c>
      <c r="L27" s="78">
        <f>IF($J27=0,"",IF(($K27-$J27)/$J27*100&lt;0,ROUND(($K27-$J27)/$J27*100,1),""))</f>
      </c>
      <c r="M27" s="71">
        <f>IF($J27=0,"",IF(($K27-$J27)/$J27*100&gt;0,ROUND(($K27-$J27)/$J27*100,1),""))</f>
        <v>46.4</v>
      </c>
      <c r="N27" s="54"/>
    </row>
    <row r="28" spans="2:14" ht="13.5">
      <c r="B28" s="52"/>
      <c r="C28" s="65" t="s">
        <v>3</v>
      </c>
      <c r="D28" s="66">
        <v>0</v>
      </c>
      <c r="E28" s="66">
        <v>0</v>
      </c>
      <c r="F28" s="79">
        <f>IF($D28=0,"",IF(($E28-$D28)/$D28*100&lt;0,ROUND(($E28-$D28)/$D28*100,1),""))</f>
      </c>
      <c r="G28" s="68">
        <f>IF($D28=0,"",IF(($E28-$D28)/$D28*100&gt;0,ROUND(($E28-$D28)/$D28*100,1),""))</f>
      </c>
      <c r="H28" s="10"/>
      <c r="I28" s="65" t="s">
        <v>3</v>
      </c>
      <c r="J28" s="72">
        <v>23015</v>
      </c>
      <c r="K28" s="66">
        <v>15432</v>
      </c>
      <c r="L28" s="79">
        <f>IF($J28=0,"",IF(($K28-$J28)/$J28*100&lt;0,ROUND(($K28-$J28)/$J28*100,1),""))</f>
        <v>-32.9</v>
      </c>
      <c r="M28" s="73">
        <f>IF($J28=0,"",IF(($K28-$J28)/$J28*100&gt;0,ROUND(($K28-$J28)/$J28*100,1),""))</f>
      </c>
      <c r="N28" s="54"/>
    </row>
    <row r="29" spans="2:14" ht="13.5">
      <c r="B29" s="5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4"/>
    </row>
    <row r="30" spans="2:14" s="17" customFormat="1" ht="13.5">
      <c r="B30" s="55"/>
      <c r="C30" s="291" t="s">
        <v>1621</v>
      </c>
      <c r="D30" s="292"/>
      <c r="E30" s="292"/>
      <c r="F30" s="292"/>
      <c r="G30" s="293"/>
      <c r="I30" s="291" t="s">
        <v>70</v>
      </c>
      <c r="J30" s="292"/>
      <c r="K30" s="292"/>
      <c r="L30" s="292"/>
      <c r="M30" s="293"/>
      <c r="N30" s="56"/>
    </row>
    <row r="31" spans="2:14" s="17" customFormat="1" ht="13.5">
      <c r="B31" s="55"/>
      <c r="N31" s="56"/>
    </row>
    <row r="32" spans="2:14" s="17" customFormat="1" ht="13.5">
      <c r="B32" s="55"/>
      <c r="N32" s="56"/>
    </row>
    <row r="33" spans="2:14" s="17" customFormat="1" ht="13.5">
      <c r="B33" s="55"/>
      <c r="N33" s="56"/>
    </row>
    <row r="34" spans="2:14" s="17" customFormat="1" ht="13.5">
      <c r="B34" s="55"/>
      <c r="N34" s="56"/>
    </row>
    <row r="35" spans="2:14" s="17" customFormat="1" ht="13.5">
      <c r="B35" s="55"/>
      <c r="N35" s="56"/>
    </row>
    <row r="36" spans="2:14" s="17" customFormat="1" ht="13.5">
      <c r="B36" s="55"/>
      <c r="N36" s="56"/>
    </row>
    <row r="37" spans="2:14" s="17" customFormat="1" ht="13.5">
      <c r="B37" s="55"/>
      <c r="N37" s="56"/>
    </row>
    <row r="38" spans="2:14" s="17" customFormat="1" ht="13.5">
      <c r="B38" s="55"/>
      <c r="N38" s="56"/>
    </row>
    <row r="39" spans="2:14" s="17" customFormat="1" ht="13.5">
      <c r="B39" s="55"/>
      <c r="N39" s="56"/>
    </row>
    <row r="40" spans="2:14" s="17" customFormat="1" ht="13.5">
      <c r="B40" s="55"/>
      <c r="N40" s="56"/>
    </row>
    <row r="41" spans="2:14" s="17" customFormat="1" ht="13.5">
      <c r="B41" s="55"/>
      <c r="N41" s="56"/>
    </row>
    <row r="42" spans="2:14" s="17" customFormat="1" ht="13.5">
      <c r="B42" s="55"/>
      <c r="N42" s="56"/>
    </row>
    <row r="43" spans="2:14" s="17" customFormat="1" ht="13.5">
      <c r="B43" s="55"/>
      <c r="N43" s="56"/>
    </row>
    <row r="44" spans="2:14" s="17" customFormat="1" ht="13.5">
      <c r="B44" s="55"/>
      <c r="N44" s="56"/>
    </row>
    <row r="45" spans="2:14" s="17" customFormat="1" ht="13.5">
      <c r="B45" s="55"/>
      <c r="N45" s="56"/>
    </row>
    <row r="46" spans="2:14" s="17" customFormat="1" ht="13.5">
      <c r="B46" s="55"/>
      <c r="N46" s="56"/>
    </row>
    <row r="47" spans="2:14" s="17" customFormat="1" ht="13.5">
      <c r="B47" s="55"/>
      <c r="N47" s="56"/>
    </row>
    <row r="48" spans="2:14" s="17" customFormat="1" ht="13.5">
      <c r="B48" s="55"/>
      <c r="N48" s="56"/>
    </row>
    <row r="49" spans="2:14" s="17" customFormat="1" ht="13.5">
      <c r="B49" s="55"/>
      <c r="N49" s="56"/>
    </row>
    <row r="50" spans="2:14" s="17" customFormat="1" ht="13.5">
      <c r="B50" s="55"/>
      <c r="N50" s="56"/>
    </row>
    <row r="51" spans="2:14" s="17" customFormat="1" ht="14.25" thickBot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</row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</sheetData>
  <sheetProtection/>
  <mergeCells count="24">
    <mergeCell ref="I19:I20"/>
    <mergeCell ref="L19:L20"/>
    <mergeCell ref="M19:M20"/>
    <mergeCell ref="D19:D20"/>
    <mergeCell ref="E19:E20"/>
    <mergeCell ref="J19:J20"/>
    <mergeCell ref="C11:G11"/>
    <mergeCell ref="I11:M11"/>
    <mergeCell ref="F12:G12"/>
    <mergeCell ref="L12:M12"/>
    <mergeCell ref="F18:G18"/>
    <mergeCell ref="L18:M18"/>
    <mergeCell ref="C17:G17"/>
    <mergeCell ref="I17:M17"/>
    <mergeCell ref="C30:G30"/>
    <mergeCell ref="I30:M30"/>
    <mergeCell ref="F23:G23"/>
    <mergeCell ref="L23:M23"/>
    <mergeCell ref="G19:G20"/>
    <mergeCell ref="C22:G22"/>
    <mergeCell ref="I22:M22"/>
    <mergeCell ref="K19:K20"/>
    <mergeCell ref="F19:F20"/>
    <mergeCell ref="C19:C20"/>
  </mergeCells>
  <dataValidations count="9">
    <dataValidation allowBlank="1" showInputMessage="1" showErrorMessage="1" promptTitle="applicants" prompt="the number of applicants with your centre code that applied to UCAS" sqref="C13 I13"/>
    <dataValidation allowBlank="1" showInputMessage="1" showErrorMessage="1" promptTitle="adjustment accepts" prompt="applicants that accepted a place through adjustment" sqref="C27 I27"/>
    <dataValidation allowBlank="1" showInputMessage="1" showErrorMessage="1" promptTitle="direct accepts" prompt="applicants that accepted a place using Overseas Partnership Forms and Records of Prior Acceptance" sqref="C28 I28"/>
    <dataValidation allowBlank="1" showInputMessage="1" showErrorMessage="1" promptTitle="clearing accepts" prompt="applicants that accepted a place through clearing" sqref="C26 I26"/>
    <dataValidation allowBlank="1" showInputMessage="1" showErrorMessage="1" promptTitle="extra accepts" prompt="applicants that accepted a place through the Extra process" sqref="C25 I25"/>
    <dataValidation allowBlank="1" showInputMessage="1" showErrorMessage="1" promptTitle="mainscheme accepts" prompt="applicants that accepted one of the mainscheme choices (applications)" sqref="C24 I24"/>
    <dataValidation allowBlank="1" showInputMessage="1" showErrorMessage="1" promptTitle="% of applicants accepted" prompt="the percentage of total accepted applicants out of all applicants that applied" sqref="C19 I19"/>
    <dataValidation allowBlank="1" showInputMessage="1" showErrorMessage="1" promptTitle="choices" prompt="the number of choices (applications) the applicants made" sqref="C14 I14"/>
    <dataValidation allowBlank="1" showInputMessage="1" showErrorMessage="1" promptTitle="accepts" prompt="The number of applicants who accepted a place" sqref="C15 I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009FEE"/>
    <pageSetUpPr fitToPage="1"/>
  </sheetPr>
  <dimension ref="B4:V74"/>
  <sheetViews>
    <sheetView showGridLines="0" showRowColHeaders="0" zoomScalePageLayoutView="0" workbookViewId="0" topLeftCell="A1">
      <selection activeCell="N49" sqref="N49"/>
    </sheetView>
  </sheetViews>
  <sheetFormatPr defaultColWidth="9.140625" defaultRowHeight="12.75"/>
  <cols>
    <col min="1" max="1" width="9.140625" style="6" customWidth="1"/>
    <col min="2" max="2" width="2.00390625" style="6" customWidth="1"/>
    <col min="3" max="3" width="11.7109375" style="6" customWidth="1"/>
    <col min="4" max="4" width="2.421875" style="6" customWidth="1"/>
    <col min="5" max="5" width="10.28125" style="6" bestFit="1" customWidth="1"/>
    <col min="6" max="6" width="9.28125" style="6" customWidth="1"/>
    <col min="7" max="7" width="11.28125" style="80" customWidth="1"/>
    <col min="8" max="8" width="10.28125" style="6" bestFit="1" customWidth="1"/>
    <col min="9" max="9" width="9.28125" style="6" customWidth="1"/>
    <col min="10" max="10" width="11.28125" style="80" customWidth="1"/>
    <col min="11" max="12" width="10.28125" style="6" customWidth="1"/>
    <col min="13" max="13" width="11.140625" style="6" customWidth="1"/>
    <col min="14" max="19" width="9.140625" style="6" customWidth="1"/>
    <col min="20" max="20" width="6.00390625" style="6" customWidth="1"/>
    <col min="21" max="16384" width="9.140625" style="6" customWidth="1"/>
  </cols>
  <sheetData>
    <row r="1" ht="12.75"/>
    <row r="2" ht="12.75"/>
    <row r="3" ht="12.75"/>
    <row r="4" ht="15.75">
      <c r="C4" s="48" t="s">
        <v>274</v>
      </c>
    </row>
    <row r="5" ht="12.75">
      <c r="T5" s="9" t="s">
        <v>1622</v>
      </c>
    </row>
    <row r="6" ht="14.25" thickBot="1"/>
    <row r="7" spans="2:20" ht="13.5">
      <c r="B7" s="49"/>
      <c r="C7" s="50"/>
      <c r="D7" s="50"/>
      <c r="E7" s="50"/>
      <c r="F7" s="50"/>
      <c r="G7" s="88"/>
      <c r="H7" s="50"/>
      <c r="I7" s="50"/>
      <c r="J7" s="88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2:20" ht="13.5">
      <c r="B8" s="52"/>
      <c r="C8" s="53" t="s">
        <v>1607</v>
      </c>
      <c r="D8" s="10"/>
      <c r="E8" s="10"/>
      <c r="F8" s="10"/>
      <c r="G8" s="81"/>
      <c r="H8" s="10"/>
      <c r="I8" s="10"/>
      <c r="J8" s="81"/>
      <c r="K8" s="10"/>
      <c r="L8" s="10"/>
      <c r="M8" s="10"/>
      <c r="N8" s="10"/>
      <c r="O8" s="10"/>
      <c r="P8" s="10"/>
      <c r="Q8" s="10"/>
      <c r="R8" s="10"/>
      <c r="S8" s="10"/>
      <c r="T8" s="54"/>
    </row>
    <row r="9" spans="2:20" ht="13.5">
      <c r="B9" s="52"/>
      <c r="C9" s="53" t="s">
        <v>1608</v>
      </c>
      <c r="D9" s="10"/>
      <c r="E9" s="10"/>
      <c r="F9" s="10"/>
      <c r="G9" s="81"/>
      <c r="H9" s="10"/>
      <c r="I9" s="10"/>
      <c r="J9" s="81"/>
      <c r="K9" s="10"/>
      <c r="L9" s="10"/>
      <c r="M9" s="10"/>
      <c r="N9" s="10"/>
      <c r="O9" s="10"/>
      <c r="P9" s="10"/>
      <c r="Q9" s="10"/>
      <c r="R9" s="10"/>
      <c r="S9" s="10"/>
      <c r="T9" s="54"/>
    </row>
    <row r="10" spans="2:20" ht="13.5">
      <c r="B10" s="52"/>
      <c r="C10" s="53" t="s">
        <v>1609</v>
      </c>
      <c r="D10" s="10"/>
      <c r="E10" s="10"/>
      <c r="F10" s="10"/>
      <c r="G10" s="81"/>
      <c r="H10" s="10"/>
      <c r="I10" s="10"/>
      <c r="J10" s="81"/>
      <c r="K10" s="10"/>
      <c r="L10" s="10"/>
      <c r="M10" s="10"/>
      <c r="N10" s="10"/>
      <c r="O10" s="10"/>
      <c r="P10" s="10"/>
      <c r="Q10" s="10"/>
      <c r="R10" s="10"/>
      <c r="S10" s="10"/>
      <c r="T10" s="54"/>
    </row>
    <row r="11" spans="2:20" ht="13.5">
      <c r="B11" s="52"/>
      <c r="C11" s="53"/>
      <c r="D11" s="10"/>
      <c r="E11" s="10"/>
      <c r="F11" s="10"/>
      <c r="G11" s="81"/>
      <c r="H11" s="10"/>
      <c r="I11" s="10"/>
      <c r="J11" s="81"/>
      <c r="K11" s="10"/>
      <c r="L11" s="10"/>
      <c r="M11" s="10"/>
      <c r="N11" s="10"/>
      <c r="O11" s="10"/>
      <c r="P11" s="10"/>
      <c r="Q11" s="10"/>
      <c r="R11" s="10"/>
      <c r="S11" s="10"/>
      <c r="T11" s="54"/>
    </row>
    <row r="12" spans="2:20" ht="13.5">
      <c r="B12" s="52"/>
      <c r="C12" s="53"/>
      <c r="D12" s="10"/>
      <c r="E12" s="10"/>
      <c r="F12" s="10"/>
      <c r="G12" s="81"/>
      <c r="H12" s="10"/>
      <c r="I12" s="10"/>
      <c r="J12" s="81"/>
      <c r="K12" s="10"/>
      <c r="L12" s="10"/>
      <c r="M12" s="10"/>
      <c r="N12" s="10"/>
      <c r="O12" s="10"/>
      <c r="P12" s="10"/>
      <c r="Q12" s="10"/>
      <c r="R12" s="10"/>
      <c r="S12" s="10"/>
      <c r="T12" s="54"/>
    </row>
    <row r="13" spans="2:20" ht="13.5">
      <c r="B13" s="52"/>
      <c r="C13" s="10"/>
      <c r="D13" s="10"/>
      <c r="E13" s="10"/>
      <c r="F13" s="10"/>
      <c r="G13" s="81"/>
      <c r="H13" s="10"/>
      <c r="I13" s="10"/>
      <c r="J13" s="81"/>
      <c r="K13" s="10"/>
      <c r="L13" s="10"/>
      <c r="M13" s="10"/>
      <c r="N13" s="10"/>
      <c r="O13" s="10"/>
      <c r="P13" s="10"/>
      <c r="Q13" s="10"/>
      <c r="R13" s="10"/>
      <c r="S13" s="10"/>
      <c r="T13" s="54"/>
    </row>
    <row r="14" spans="2:20" ht="13.5">
      <c r="B14" s="52"/>
      <c r="C14" s="10"/>
      <c r="D14" s="10"/>
      <c r="E14" s="10"/>
      <c r="F14" s="10"/>
      <c r="G14" s="81"/>
      <c r="H14" s="10"/>
      <c r="I14" s="10"/>
      <c r="J14" s="81"/>
      <c r="K14" s="10"/>
      <c r="L14" s="10"/>
      <c r="M14" s="10"/>
      <c r="N14" s="10"/>
      <c r="O14" s="318" t="s">
        <v>90</v>
      </c>
      <c r="P14" s="318"/>
      <c r="Q14" s="318"/>
      <c r="R14" s="318"/>
      <c r="S14" s="318"/>
      <c r="T14" s="54"/>
    </row>
    <row r="15" spans="2:20" ht="13.5">
      <c r="B15" s="52"/>
      <c r="C15" s="313" t="s">
        <v>56</v>
      </c>
      <c r="D15" s="82"/>
      <c r="E15" s="298" t="s">
        <v>1354</v>
      </c>
      <c r="F15" s="299"/>
      <c r="G15" s="299"/>
      <c r="H15" s="299"/>
      <c r="I15" s="299"/>
      <c r="J15" s="299"/>
      <c r="K15" s="299" t="s">
        <v>5</v>
      </c>
      <c r="L15" s="299"/>
      <c r="M15" s="300"/>
      <c r="N15" s="10"/>
      <c r="O15" s="10"/>
      <c r="P15" s="10"/>
      <c r="Q15" s="10"/>
      <c r="R15" s="10"/>
      <c r="S15" s="10"/>
      <c r="T15" s="54"/>
    </row>
    <row r="16" spans="2:21" ht="13.5">
      <c r="B16" s="52"/>
      <c r="C16" s="314"/>
      <c r="D16" s="82"/>
      <c r="E16" s="316">
        <v>2012</v>
      </c>
      <c r="F16" s="315"/>
      <c r="G16" s="315"/>
      <c r="H16" s="315">
        <v>2013</v>
      </c>
      <c r="I16" s="315"/>
      <c r="J16" s="315"/>
      <c r="K16" s="315">
        <v>2013</v>
      </c>
      <c r="L16" s="315"/>
      <c r="M16" s="317"/>
      <c r="N16" s="10"/>
      <c r="O16" s="10"/>
      <c r="P16" s="10"/>
      <c r="Q16" s="10"/>
      <c r="R16" s="10"/>
      <c r="S16" s="10"/>
      <c r="T16" s="54"/>
      <c r="U16" s="83"/>
    </row>
    <row r="17" spans="2:21" ht="13.5">
      <c r="B17" s="52"/>
      <c r="C17" s="93"/>
      <c r="D17" s="20"/>
      <c r="E17" s="96" t="s">
        <v>71</v>
      </c>
      <c r="F17" s="97" t="s">
        <v>47</v>
      </c>
      <c r="G17" s="98" t="s">
        <v>291</v>
      </c>
      <c r="H17" s="96" t="s">
        <v>71</v>
      </c>
      <c r="I17" s="97" t="s">
        <v>47</v>
      </c>
      <c r="J17" s="98" t="s">
        <v>291</v>
      </c>
      <c r="K17" s="96" t="s">
        <v>71</v>
      </c>
      <c r="L17" s="97" t="s">
        <v>47</v>
      </c>
      <c r="M17" s="98" t="s">
        <v>291</v>
      </c>
      <c r="N17" s="10"/>
      <c r="O17" s="10"/>
      <c r="P17" s="10"/>
      <c r="Q17" s="10"/>
      <c r="R17" s="10"/>
      <c r="S17" s="10"/>
      <c r="T17" s="54"/>
      <c r="U17" s="83" t="s">
        <v>86</v>
      </c>
    </row>
    <row r="18" spans="2:21" ht="13.5">
      <c r="B18" s="52"/>
      <c r="C18" s="94" t="s">
        <v>52</v>
      </c>
      <c r="D18" s="19"/>
      <c r="E18" s="99">
        <v>1</v>
      </c>
      <c r="F18" s="46">
        <v>1</v>
      </c>
      <c r="G18" s="100">
        <f>IF(F18=0,0,F18/SUM(F$18:F$24))</f>
        <v>0.0019267822736030828</v>
      </c>
      <c r="H18" s="99">
        <v>0</v>
      </c>
      <c r="I18" s="46">
        <v>0</v>
      </c>
      <c r="J18" s="100">
        <f>IF(I18=0,0,I18/SUM(I$18:I$24))</f>
        <v>0</v>
      </c>
      <c r="K18" s="99">
        <v>14519</v>
      </c>
      <c r="L18" s="46">
        <v>8742</v>
      </c>
      <c r="M18" s="100">
        <f>IF(L18=0,0,L18/SUM(L$18:L$24))</f>
        <v>0.017767209316505092</v>
      </c>
      <c r="N18" s="10"/>
      <c r="O18" s="84">
        <f>F18/SUM(F$18:F$24)</f>
        <v>0.0019267822736030828</v>
      </c>
      <c r="P18" s="84">
        <f>I18/SUM(I$18:I$24)</f>
        <v>0</v>
      </c>
      <c r="Q18" s="84">
        <f>L18/SUM(L$18:L$24)</f>
        <v>0.017767209316505092</v>
      </c>
      <c r="R18" s="85"/>
      <c r="S18" s="10"/>
      <c r="T18" s="54"/>
      <c r="U18" s="83">
        <v>18</v>
      </c>
    </row>
    <row r="19" spans="2:21" ht="13.5">
      <c r="B19" s="52"/>
      <c r="C19" s="94">
        <v>18</v>
      </c>
      <c r="D19" s="19"/>
      <c r="E19" s="99">
        <v>446</v>
      </c>
      <c r="F19" s="46">
        <v>356</v>
      </c>
      <c r="G19" s="100">
        <f aca="true" t="shared" si="0" ref="G19:G24">IF(F19=0,0,F19/SUM(F$18:F$24))</f>
        <v>0.6859344894026975</v>
      </c>
      <c r="H19" s="99">
        <v>433</v>
      </c>
      <c r="I19" s="46">
        <v>425</v>
      </c>
      <c r="J19" s="100">
        <f aca="true" t="shared" si="1" ref="J19:J24">IF(I19=0,0,I19/SUM(I$18:I$24))</f>
        <v>0.700164744645799</v>
      </c>
      <c r="K19" s="99">
        <v>270236</v>
      </c>
      <c r="L19" s="46">
        <v>210813</v>
      </c>
      <c r="M19" s="100">
        <f aca="true" t="shared" si="2" ref="M19:M24">IF(L19=0,0,L19/SUM(L$18:L$24))</f>
        <v>0.42845558197670874</v>
      </c>
      <c r="N19" s="10"/>
      <c r="O19" s="84">
        <f aca="true" t="shared" si="3" ref="O19:O24">F19/SUM(F$18:F$24)</f>
        <v>0.6859344894026975</v>
      </c>
      <c r="P19" s="84">
        <f aca="true" t="shared" si="4" ref="P19:P24">I19/SUM(I$18:I$24)</f>
        <v>0.700164744645799</v>
      </c>
      <c r="Q19" s="84">
        <f aca="true" t="shared" si="5" ref="Q19:Q24">L19/SUM(L$18:L$24)</f>
        <v>0.42845558197670874</v>
      </c>
      <c r="R19" s="10"/>
      <c r="S19" s="10"/>
      <c r="T19" s="54"/>
      <c r="U19" s="83">
        <v>19</v>
      </c>
    </row>
    <row r="20" spans="2:21" ht="13.5">
      <c r="B20" s="52"/>
      <c r="C20" s="94">
        <v>19</v>
      </c>
      <c r="D20" s="19"/>
      <c r="E20" s="99">
        <v>172</v>
      </c>
      <c r="F20" s="46">
        <v>140</v>
      </c>
      <c r="G20" s="100">
        <f t="shared" si="0"/>
        <v>0.2697495183044316</v>
      </c>
      <c r="H20" s="99">
        <v>168</v>
      </c>
      <c r="I20" s="46">
        <v>164</v>
      </c>
      <c r="J20" s="100">
        <f t="shared" si="1"/>
        <v>0.2701812191103789</v>
      </c>
      <c r="K20" s="99">
        <v>155677</v>
      </c>
      <c r="L20" s="46">
        <v>117485</v>
      </c>
      <c r="M20" s="100">
        <f t="shared" si="2"/>
        <v>0.23877609088876695</v>
      </c>
      <c r="N20" s="10"/>
      <c r="O20" s="84">
        <f t="shared" si="3"/>
        <v>0.2697495183044316</v>
      </c>
      <c r="P20" s="84">
        <f t="shared" si="4"/>
        <v>0.2701812191103789</v>
      </c>
      <c r="Q20" s="84">
        <f t="shared" si="5"/>
        <v>0.23877609088876695</v>
      </c>
      <c r="R20" s="10"/>
      <c r="S20" s="10"/>
      <c r="T20" s="54"/>
      <c r="U20" s="83">
        <v>20</v>
      </c>
    </row>
    <row r="21" spans="2:21" ht="13.5">
      <c r="B21" s="52"/>
      <c r="C21" s="94">
        <v>20</v>
      </c>
      <c r="D21" s="19"/>
      <c r="E21" s="99">
        <v>26</v>
      </c>
      <c r="F21" s="46">
        <v>20</v>
      </c>
      <c r="G21" s="100">
        <f t="shared" si="0"/>
        <v>0.038535645472061654</v>
      </c>
      <c r="H21" s="99">
        <v>20</v>
      </c>
      <c r="I21" s="46">
        <v>17</v>
      </c>
      <c r="J21" s="100">
        <f t="shared" si="1"/>
        <v>0.02800658978583196</v>
      </c>
      <c r="K21" s="99">
        <v>66978</v>
      </c>
      <c r="L21" s="46">
        <v>46687</v>
      </c>
      <c r="M21" s="100">
        <f t="shared" si="2"/>
        <v>0.09488649066113855</v>
      </c>
      <c r="N21" s="10"/>
      <c r="O21" s="84">
        <f t="shared" si="3"/>
        <v>0.038535645472061654</v>
      </c>
      <c r="P21" s="84">
        <f t="shared" si="4"/>
        <v>0.02800658978583196</v>
      </c>
      <c r="Q21" s="84">
        <f t="shared" si="5"/>
        <v>0.09488649066113855</v>
      </c>
      <c r="R21" s="10"/>
      <c r="S21" s="10"/>
      <c r="T21" s="54"/>
      <c r="U21" s="83" t="s">
        <v>87</v>
      </c>
    </row>
    <row r="22" spans="2:21" ht="13.5">
      <c r="B22" s="52"/>
      <c r="C22" s="94" t="s">
        <v>54</v>
      </c>
      <c r="D22" s="19"/>
      <c r="E22" s="99">
        <v>5</v>
      </c>
      <c r="F22" s="46">
        <v>2</v>
      </c>
      <c r="G22" s="100">
        <f t="shared" si="0"/>
        <v>0.0038535645472061657</v>
      </c>
      <c r="H22" s="99">
        <v>2</v>
      </c>
      <c r="I22" s="46">
        <v>1</v>
      </c>
      <c r="J22" s="100">
        <f t="shared" si="1"/>
        <v>0.0016474464579901153</v>
      </c>
      <c r="K22" s="99">
        <v>96058</v>
      </c>
      <c r="L22" s="46">
        <v>57372</v>
      </c>
      <c r="M22" s="100">
        <f t="shared" si="2"/>
        <v>0.11660264618011097</v>
      </c>
      <c r="N22" s="10"/>
      <c r="O22" s="84">
        <f t="shared" si="3"/>
        <v>0.0038535645472061657</v>
      </c>
      <c r="P22" s="84">
        <f t="shared" si="4"/>
        <v>0.0016474464579901153</v>
      </c>
      <c r="Q22" s="84">
        <f t="shared" si="5"/>
        <v>0.11660264618011097</v>
      </c>
      <c r="R22" s="10"/>
      <c r="S22" s="10"/>
      <c r="T22" s="54"/>
      <c r="U22" s="83" t="s">
        <v>88</v>
      </c>
    </row>
    <row r="23" spans="2:21" ht="13.5">
      <c r="B23" s="52"/>
      <c r="C23" s="94" t="s">
        <v>53</v>
      </c>
      <c r="D23" s="19"/>
      <c r="E23" s="99">
        <v>0</v>
      </c>
      <c r="F23" s="46">
        <v>0</v>
      </c>
      <c r="G23" s="100">
        <f t="shared" si="0"/>
        <v>0</v>
      </c>
      <c r="H23" s="99">
        <v>0</v>
      </c>
      <c r="I23" s="46">
        <v>0</v>
      </c>
      <c r="J23" s="100">
        <f t="shared" si="1"/>
        <v>0</v>
      </c>
      <c r="K23" s="99">
        <v>77265</v>
      </c>
      <c r="L23" s="46">
        <v>40656</v>
      </c>
      <c r="M23" s="100">
        <f t="shared" si="2"/>
        <v>0.08262910798122065</v>
      </c>
      <c r="N23" s="10"/>
      <c r="O23" s="84">
        <f t="shared" si="3"/>
        <v>0</v>
      </c>
      <c r="P23" s="84">
        <f t="shared" si="4"/>
        <v>0</v>
      </c>
      <c r="Q23" s="84">
        <f t="shared" si="5"/>
        <v>0.08262910798122065</v>
      </c>
      <c r="R23" s="10"/>
      <c r="S23" s="10"/>
      <c r="T23" s="54"/>
      <c r="U23" s="83" t="s">
        <v>89</v>
      </c>
    </row>
    <row r="24" spans="2:21" ht="13.5">
      <c r="B24" s="52"/>
      <c r="C24" s="95" t="s">
        <v>55</v>
      </c>
      <c r="D24" s="19"/>
      <c r="E24" s="101">
        <v>0</v>
      </c>
      <c r="F24" s="66">
        <v>0</v>
      </c>
      <c r="G24" s="102">
        <f t="shared" si="0"/>
        <v>0</v>
      </c>
      <c r="H24" s="101">
        <v>0</v>
      </c>
      <c r="I24" s="66">
        <v>0</v>
      </c>
      <c r="J24" s="102">
        <f t="shared" si="1"/>
        <v>0</v>
      </c>
      <c r="K24" s="101">
        <v>19428</v>
      </c>
      <c r="L24" s="66">
        <v>10275</v>
      </c>
      <c r="M24" s="102">
        <f t="shared" si="2"/>
        <v>0.020882872995549053</v>
      </c>
      <c r="N24" s="10"/>
      <c r="O24" s="84">
        <f t="shared" si="3"/>
        <v>0</v>
      </c>
      <c r="P24" s="84">
        <f t="shared" si="4"/>
        <v>0</v>
      </c>
      <c r="Q24" s="84">
        <f t="shared" si="5"/>
        <v>0.020882872995549053</v>
      </c>
      <c r="R24" s="10"/>
      <c r="S24" s="10"/>
      <c r="T24" s="54"/>
      <c r="U24" s="83"/>
    </row>
    <row r="25" spans="2:20" ht="13.5">
      <c r="B25" s="52"/>
      <c r="C25" s="10"/>
      <c r="D25" s="10"/>
      <c r="E25" s="10"/>
      <c r="F25" s="10"/>
      <c r="G25" s="81"/>
      <c r="H25" s="10"/>
      <c r="I25" s="10"/>
      <c r="J25" s="81"/>
      <c r="K25" s="10"/>
      <c r="L25" s="10"/>
      <c r="M25" s="10"/>
      <c r="N25" s="10"/>
      <c r="O25" s="10"/>
      <c r="P25" s="10"/>
      <c r="Q25" s="10"/>
      <c r="R25" s="10"/>
      <c r="S25" s="10"/>
      <c r="T25" s="54"/>
    </row>
    <row r="26" spans="2:20" ht="13.5">
      <c r="B26" s="52"/>
      <c r="C26" s="313" t="s">
        <v>72</v>
      </c>
      <c r="D26" s="82"/>
      <c r="E26" s="298" t="s">
        <v>1354</v>
      </c>
      <c r="F26" s="299"/>
      <c r="G26" s="299"/>
      <c r="H26" s="299"/>
      <c r="I26" s="299"/>
      <c r="J26" s="299"/>
      <c r="K26" s="299" t="s">
        <v>5</v>
      </c>
      <c r="L26" s="299"/>
      <c r="M26" s="300"/>
      <c r="N26" s="10"/>
      <c r="O26" s="10"/>
      <c r="P26" s="10"/>
      <c r="Q26" s="10"/>
      <c r="R26" s="10"/>
      <c r="S26" s="10"/>
      <c r="T26" s="54"/>
    </row>
    <row r="27" spans="2:20" ht="13.5">
      <c r="B27" s="52"/>
      <c r="C27" s="314"/>
      <c r="D27" s="82"/>
      <c r="E27" s="316">
        <v>2012</v>
      </c>
      <c r="F27" s="315"/>
      <c r="G27" s="315"/>
      <c r="H27" s="315">
        <v>2013</v>
      </c>
      <c r="I27" s="315"/>
      <c r="J27" s="315"/>
      <c r="K27" s="315">
        <v>2013</v>
      </c>
      <c r="L27" s="315"/>
      <c r="M27" s="317"/>
      <c r="N27" s="10"/>
      <c r="O27" s="10"/>
      <c r="P27" s="10"/>
      <c r="Q27" s="10"/>
      <c r="R27" s="10"/>
      <c r="S27" s="10"/>
      <c r="T27" s="54"/>
    </row>
    <row r="28" spans="2:20" ht="13.5">
      <c r="B28" s="52"/>
      <c r="C28" s="93"/>
      <c r="D28" s="86"/>
      <c r="E28" s="96" t="s">
        <v>71</v>
      </c>
      <c r="F28" s="97" t="s">
        <v>47</v>
      </c>
      <c r="G28" s="98" t="s">
        <v>291</v>
      </c>
      <c r="H28" s="96" t="s">
        <v>71</v>
      </c>
      <c r="I28" s="97" t="s">
        <v>47</v>
      </c>
      <c r="J28" s="98" t="s">
        <v>291</v>
      </c>
      <c r="K28" s="96" t="s">
        <v>71</v>
      </c>
      <c r="L28" s="97" t="s">
        <v>47</v>
      </c>
      <c r="M28" s="98" t="s">
        <v>291</v>
      </c>
      <c r="N28" s="10"/>
      <c r="O28" s="10"/>
      <c r="P28" s="10"/>
      <c r="Q28" s="10"/>
      <c r="R28" s="10"/>
      <c r="S28" s="10"/>
      <c r="T28" s="54"/>
    </row>
    <row r="29" spans="2:20" ht="13.5">
      <c r="B29" s="52"/>
      <c r="C29" s="103" t="s">
        <v>57</v>
      </c>
      <c r="D29" s="17"/>
      <c r="E29" s="99">
        <v>413</v>
      </c>
      <c r="F29" s="46">
        <v>310</v>
      </c>
      <c r="G29" s="100">
        <f>IF(F29=0,0,F29/SUM(F$29:F$30))</f>
        <v>0.5973025048169557</v>
      </c>
      <c r="H29" s="99">
        <v>408</v>
      </c>
      <c r="I29" s="46">
        <v>311</v>
      </c>
      <c r="J29" s="100">
        <f>IF(I29=0,0,I29/SUM(I$29:I$30))</f>
        <v>0.622</v>
      </c>
      <c r="K29" s="99">
        <v>393096</v>
      </c>
      <c r="L29" s="46">
        <v>270154</v>
      </c>
      <c r="M29" s="100">
        <f>IF(L29=0,0,L29/SUM(L$29:L$30))</f>
        <v>0.5490600166656505</v>
      </c>
      <c r="N29" s="10"/>
      <c r="O29" s="84">
        <f>F29/SUM(F$29:F$30)</f>
        <v>0.5973025048169557</v>
      </c>
      <c r="P29" s="84">
        <f>I29/SUM(I$29:I$30)</f>
        <v>0.622</v>
      </c>
      <c r="Q29" s="84">
        <f>L29/SUM(L$29:L$30)</f>
        <v>0.5490600166656505</v>
      </c>
      <c r="R29" s="10"/>
      <c r="S29" s="10"/>
      <c r="T29" s="54"/>
    </row>
    <row r="30" spans="2:20" ht="13.5">
      <c r="B30" s="52"/>
      <c r="C30" s="104" t="s">
        <v>58</v>
      </c>
      <c r="D30" s="17"/>
      <c r="E30" s="101">
        <v>237</v>
      </c>
      <c r="F30" s="66">
        <v>209</v>
      </c>
      <c r="G30" s="102">
        <f>IF(F30=0,0,F30/SUM(F$29:F$30))</f>
        <v>0.4026974951830443</v>
      </c>
      <c r="H30" s="101">
        <v>215</v>
      </c>
      <c r="I30" s="66">
        <v>189</v>
      </c>
      <c r="J30" s="102">
        <f>IF(I30=0,0,I30/SUM(I$29:I$30))</f>
        <v>0.378</v>
      </c>
      <c r="K30" s="101">
        <v>307065</v>
      </c>
      <c r="L30" s="66">
        <v>221876</v>
      </c>
      <c r="M30" s="102">
        <f>IF(L30=0,0,L30/SUM(L$29:L$30))</f>
        <v>0.45093998333434954</v>
      </c>
      <c r="N30" s="10"/>
      <c r="O30" s="84">
        <f>F30/SUM(F$29:F$30)</f>
        <v>0.4026974951830443</v>
      </c>
      <c r="P30" s="84">
        <f>I30/SUM(I$29:I$30)</f>
        <v>0.378</v>
      </c>
      <c r="Q30" s="84">
        <f>L30/SUM(L$29:L$30)</f>
        <v>0.45093998333434954</v>
      </c>
      <c r="R30" s="10"/>
      <c r="S30" s="10"/>
      <c r="T30" s="54"/>
    </row>
    <row r="31" spans="2:20" ht="13.5">
      <c r="B31" s="52"/>
      <c r="C31" s="10"/>
      <c r="D31" s="10"/>
      <c r="E31" s="10"/>
      <c r="F31" s="10"/>
      <c r="G31" s="81"/>
      <c r="H31" s="10"/>
      <c r="I31" s="10"/>
      <c r="J31" s="81"/>
      <c r="K31" s="10"/>
      <c r="L31" s="10"/>
      <c r="M31" s="10"/>
      <c r="N31" s="10"/>
      <c r="O31" s="10"/>
      <c r="P31" s="10"/>
      <c r="Q31" s="10"/>
      <c r="R31" s="10"/>
      <c r="S31" s="10"/>
      <c r="T31" s="54"/>
    </row>
    <row r="32" spans="2:21" ht="13.5">
      <c r="B32" s="52"/>
      <c r="C32" s="313" t="s">
        <v>73</v>
      </c>
      <c r="D32" s="82"/>
      <c r="E32" s="298" t="s">
        <v>1354</v>
      </c>
      <c r="F32" s="299"/>
      <c r="G32" s="299"/>
      <c r="H32" s="299"/>
      <c r="I32" s="299"/>
      <c r="J32" s="299"/>
      <c r="K32" s="299" t="s">
        <v>5</v>
      </c>
      <c r="L32" s="299"/>
      <c r="M32" s="300"/>
      <c r="N32" s="10"/>
      <c r="O32" s="10"/>
      <c r="P32" s="10"/>
      <c r="Q32" s="10"/>
      <c r="R32" s="10"/>
      <c r="S32" s="10"/>
      <c r="T32" s="54"/>
      <c r="U32" s="83"/>
    </row>
    <row r="33" spans="2:20" ht="13.5">
      <c r="B33" s="52"/>
      <c r="C33" s="314"/>
      <c r="D33" s="82"/>
      <c r="E33" s="316">
        <v>2012</v>
      </c>
      <c r="F33" s="315"/>
      <c r="G33" s="315"/>
      <c r="H33" s="315">
        <v>2013</v>
      </c>
      <c r="I33" s="315"/>
      <c r="J33" s="315"/>
      <c r="K33" s="315">
        <v>2013</v>
      </c>
      <c r="L33" s="315"/>
      <c r="M33" s="317"/>
      <c r="N33" s="10"/>
      <c r="O33" s="10"/>
      <c r="P33" s="10"/>
      <c r="Q33" s="10"/>
      <c r="R33" s="10"/>
      <c r="S33" s="10"/>
      <c r="T33" s="54"/>
    </row>
    <row r="34" spans="2:20" ht="13.5">
      <c r="B34" s="52"/>
      <c r="C34" s="93"/>
      <c r="D34" s="86"/>
      <c r="E34" s="96" t="s">
        <v>71</v>
      </c>
      <c r="F34" s="97" t="s">
        <v>47</v>
      </c>
      <c r="G34" s="98" t="s">
        <v>291</v>
      </c>
      <c r="H34" s="96" t="s">
        <v>71</v>
      </c>
      <c r="I34" s="97" t="s">
        <v>47</v>
      </c>
      <c r="J34" s="98" t="s">
        <v>291</v>
      </c>
      <c r="K34" s="96" t="s">
        <v>71</v>
      </c>
      <c r="L34" s="97" t="s">
        <v>47</v>
      </c>
      <c r="M34" s="98" t="s">
        <v>291</v>
      </c>
      <c r="N34" s="10"/>
      <c r="O34" s="10"/>
      <c r="P34" s="10"/>
      <c r="Q34" s="10"/>
      <c r="R34" s="10"/>
      <c r="S34" s="10"/>
      <c r="T34" s="54"/>
    </row>
    <row r="35" spans="2:20" ht="13.5">
      <c r="B35" s="52"/>
      <c r="C35" s="103" t="s">
        <v>61</v>
      </c>
      <c r="D35" s="17"/>
      <c r="E35" s="99">
        <v>85</v>
      </c>
      <c r="F35" s="46">
        <v>61</v>
      </c>
      <c r="G35" s="100">
        <f aca="true" t="shared" si="6" ref="G35:G40">IF(F35=0,0,F35/SUM(F$35:F$40))</f>
        <v>0.122</v>
      </c>
      <c r="H35" s="99">
        <v>70</v>
      </c>
      <c r="I35" s="46">
        <v>61</v>
      </c>
      <c r="J35" s="100">
        <f aca="true" t="shared" si="7" ref="J35:J40">IF(I35=0,0,I35/SUM(I$35:I$40))</f>
        <v>0.12708333333333333</v>
      </c>
      <c r="K35" s="99">
        <v>59081</v>
      </c>
      <c r="L35" s="46">
        <v>43211</v>
      </c>
      <c r="M35" s="100">
        <f aca="true" t="shared" si="8" ref="M35:M40">IF(L35=0,0,L35/SUM(L$35:L$40))</f>
        <v>0.10020290560831101</v>
      </c>
      <c r="N35" s="10"/>
      <c r="O35" s="84">
        <f aca="true" t="shared" si="9" ref="O35:O40">F35/SUM(F$35:F$40)</f>
        <v>0.122</v>
      </c>
      <c r="P35" s="84">
        <f aca="true" t="shared" si="10" ref="P35:P40">I35/SUM(I$35:I$40)</f>
        <v>0.12708333333333333</v>
      </c>
      <c r="Q35" s="84">
        <f aca="true" t="shared" si="11" ref="Q35:Q40">L35/SUM(L$35:L$40)</f>
        <v>0.10020290560831101</v>
      </c>
      <c r="R35" s="10"/>
      <c r="S35" s="10"/>
      <c r="T35" s="54"/>
    </row>
    <row r="36" spans="2:20" ht="13.5">
      <c r="B36" s="52"/>
      <c r="C36" s="103" t="s">
        <v>62</v>
      </c>
      <c r="D36" s="17"/>
      <c r="E36" s="99">
        <v>66</v>
      </c>
      <c r="F36" s="46">
        <v>58</v>
      </c>
      <c r="G36" s="100">
        <f t="shared" si="6"/>
        <v>0.116</v>
      </c>
      <c r="H36" s="99">
        <v>65</v>
      </c>
      <c r="I36" s="46">
        <v>59</v>
      </c>
      <c r="J36" s="100">
        <f t="shared" si="7"/>
        <v>0.12291666666666666</v>
      </c>
      <c r="K36" s="99">
        <v>48780</v>
      </c>
      <c r="L36" s="46">
        <v>29688</v>
      </c>
      <c r="M36" s="100">
        <f t="shared" si="8"/>
        <v>0.06884413370899857</v>
      </c>
      <c r="N36" s="10"/>
      <c r="O36" s="84">
        <f t="shared" si="9"/>
        <v>0.116</v>
      </c>
      <c r="P36" s="84">
        <f t="shared" si="10"/>
        <v>0.12291666666666666</v>
      </c>
      <c r="Q36" s="84">
        <f t="shared" si="11"/>
        <v>0.06884413370899857</v>
      </c>
      <c r="R36" s="10"/>
      <c r="S36" s="10"/>
      <c r="T36" s="54"/>
    </row>
    <row r="37" spans="2:20" ht="13.5">
      <c r="B37" s="52"/>
      <c r="C37" s="103" t="s">
        <v>63</v>
      </c>
      <c r="D37" s="17"/>
      <c r="E37" s="99">
        <v>40</v>
      </c>
      <c r="F37" s="46">
        <v>28</v>
      </c>
      <c r="G37" s="100">
        <f t="shared" si="6"/>
        <v>0.056</v>
      </c>
      <c r="H37" s="99">
        <v>36</v>
      </c>
      <c r="I37" s="46">
        <v>34</v>
      </c>
      <c r="J37" s="100">
        <f t="shared" si="7"/>
        <v>0.07083333333333333</v>
      </c>
      <c r="K37" s="99">
        <v>21028</v>
      </c>
      <c r="L37" s="46">
        <v>15494</v>
      </c>
      <c r="M37" s="100">
        <f t="shared" si="8"/>
        <v>0.03592936565909539</v>
      </c>
      <c r="N37" s="10"/>
      <c r="O37" s="84">
        <f t="shared" si="9"/>
        <v>0.056</v>
      </c>
      <c r="P37" s="84">
        <f t="shared" si="10"/>
        <v>0.07083333333333333</v>
      </c>
      <c r="Q37" s="84">
        <f t="shared" si="11"/>
        <v>0.03592936565909539</v>
      </c>
      <c r="R37" s="10"/>
      <c r="S37" s="10"/>
      <c r="T37" s="54"/>
    </row>
    <row r="38" spans="2:20" ht="13.5">
      <c r="B38" s="52"/>
      <c r="C38" s="103" t="s">
        <v>64</v>
      </c>
      <c r="D38" s="17"/>
      <c r="E38" s="99">
        <v>17</v>
      </c>
      <c r="F38" s="46">
        <v>5</v>
      </c>
      <c r="G38" s="100">
        <f t="shared" si="6"/>
        <v>0.01</v>
      </c>
      <c r="H38" s="99">
        <v>8</v>
      </c>
      <c r="I38" s="46">
        <v>6</v>
      </c>
      <c r="J38" s="100">
        <f t="shared" si="7"/>
        <v>0.0125</v>
      </c>
      <c r="K38" s="99">
        <v>6819</v>
      </c>
      <c r="L38" s="46">
        <v>4709</v>
      </c>
      <c r="M38" s="100">
        <f t="shared" si="8"/>
        <v>0.010919800108989299</v>
      </c>
      <c r="N38" s="10"/>
      <c r="O38" s="84">
        <f t="shared" si="9"/>
        <v>0.01</v>
      </c>
      <c r="P38" s="84">
        <f t="shared" si="10"/>
        <v>0.0125</v>
      </c>
      <c r="Q38" s="84">
        <f t="shared" si="11"/>
        <v>0.010919800108989299</v>
      </c>
      <c r="R38" s="10"/>
      <c r="S38" s="10"/>
      <c r="T38" s="54"/>
    </row>
    <row r="39" spans="2:20" ht="13.5">
      <c r="B39" s="52"/>
      <c r="C39" s="103" t="s">
        <v>65</v>
      </c>
      <c r="D39" s="17"/>
      <c r="E39" s="99">
        <v>2</v>
      </c>
      <c r="F39" s="46">
        <v>2</v>
      </c>
      <c r="G39" s="100">
        <f t="shared" si="6"/>
        <v>0.004</v>
      </c>
      <c r="H39" s="101">
        <v>3</v>
      </c>
      <c r="I39" s="66">
        <v>3</v>
      </c>
      <c r="J39" s="102">
        <f t="shared" si="7"/>
        <v>0.00625</v>
      </c>
      <c r="K39" s="99">
        <v>6436</v>
      </c>
      <c r="L39" s="46">
        <v>4935</v>
      </c>
      <c r="M39" s="100">
        <f t="shared" si="8"/>
        <v>0.011443876308741174</v>
      </c>
      <c r="N39" s="10"/>
      <c r="O39" s="84">
        <f t="shared" si="9"/>
        <v>0.004</v>
      </c>
      <c r="P39" s="84">
        <f t="shared" si="10"/>
        <v>0.00625</v>
      </c>
      <c r="Q39" s="84">
        <f t="shared" si="11"/>
        <v>0.011443876308741174</v>
      </c>
      <c r="R39" s="10"/>
      <c r="S39" s="10"/>
      <c r="T39" s="54"/>
    </row>
    <row r="40" spans="2:20" ht="13.5">
      <c r="B40" s="52"/>
      <c r="C40" s="104" t="s">
        <v>66</v>
      </c>
      <c r="D40" s="17"/>
      <c r="E40" s="101">
        <v>440</v>
      </c>
      <c r="F40" s="66">
        <v>346</v>
      </c>
      <c r="G40" s="102">
        <f t="shared" si="6"/>
        <v>0.692</v>
      </c>
      <c r="H40" s="101">
        <v>369</v>
      </c>
      <c r="I40" s="66">
        <v>317</v>
      </c>
      <c r="J40" s="102">
        <f t="shared" si="7"/>
        <v>0.6604166666666667</v>
      </c>
      <c r="K40" s="101">
        <v>447206</v>
      </c>
      <c r="L40" s="66">
        <v>333198</v>
      </c>
      <c r="M40" s="102">
        <f t="shared" si="8"/>
        <v>0.7726599186058646</v>
      </c>
      <c r="N40" s="10"/>
      <c r="O40" s="84">
        <f t="shared" si="9"/>
        <v>0.692</v>
      </c>
      <c r="P40" s="84">
        <f t="shared" si="10"/>
        <v>0.6604166666666667</v>
      </c>
      <c r="Q40" s="84">
        <f t="shared" si="11"/>
        <v>0.7726599186058646</v>
      </c>
      <c r="R40" s="10"/>
      <c r="S40" s="10"/>
      <c r="T40" s="54"/>
    </row>
    <row r="41" spans="2:20" ht="13.5">
      <c r="B41" s="52"/>
      <c r="C41" s="10"/>
      <c r="D41" s="10"/>
      <c r="E41" s="10"/>
      <c r="F41" s="10"/>
      <c r="G41" s="81"/>
      <c r="H41" s="10"/>
      <c r="I41" s="10"/>
      <c r="J41" s="81"/>
      <c r="K41" s="16"/>
      <c r="L41" s="16"/>
      <c r="M41" s="10"/>
      <c r="N41" s="10"/>
      <c r="O41" s="10"/>
      <c r="P41" s="10"/>
      <c r="Q41" s="10"/>
      <c r="R41" s="10"/>
      <c r="S41" s="10"/>
      <c r="T41" s="54"/>
    </row>
    <row r="42" spans="2:20" ht="13.5">
      <c r="B42" s="52"/>
      <c r="C42" s="313" t="s">
        <v>92</v>
      </c>
      <c r="D42" s="82"/>
      <c r="E42" s="298" t="s">
        <v>1354</v>
      </c>
      <c r="F42" s="299"/>
      <c r="G42" s="299"/>
      <c r="H42" s="299"/>
      <c r="I42" s="299"/>
      <c r="J42" s="299"/>
      <c r="K42" s="299" t="s">
        <v>5</v>
      </c>
      <c r="L42" s="299"/>
      <c r="M42" s="300"/>
      <c r="N42" s="10"/>
      <c r="O42" s="10"/>
      <c r="P42" s="10"/>
      <c r="Q42" s="10"/>
      <c r="R42" s="10"/>
      <c r="S42" s="10"/>
      <c r="T42" s="54"/>
    </row>
    <row r="43" spans="2:20" ht="13.5">
      <c r="B43" s="52"/>
      <c r="C43" s="314"/>
      <c r="D43" s="82"/>
      <c r="E43" s="316">
        <v>2012</v>
      </c>
      <c r="F43" s="315"/>
      <c r="G43" s="315"/>
      <c r="H43" s="315">
        <v>2013</v>
      </c>
      <c r="I43" s="315"/>
      <c r="J43" s="315"/>
      <c r="K43" s="315">
        <v>2013</v>
      </c>
      <c r="L43" s="315"/>
      <c r="M43" s="317"/>
      <c r="N43" s="10"/>
      <c r="O43" s="10"/>
      <c r="P43" s="10"/>
      <c r="Q43" s="10"/>
      <c r="R43" s="10"/>
      <c r="S43" s="10"/>
      <c r="T43" s="54"/>
    </row>
    <row r="44" spans="2:20" ht="13.5">
      <c r="B44" s="52"/>
      <c r="C44" s="93"/>
      <c r="D44" s="86"/>
      <c r="E44" s="96" t="s">
        <v>71</v>
      </c>
      <c r="F44" s="97" t="s">
        <v>47</v>
      </c>
      <c r="G44" s="98" t="s">
        <v>291</v>
      </c>
      <c r="H44" s="96" t="s">
        <v>71</v>
      </c>
      <c r="I44" s="97" t="s">
        <v>47</v>
      </c>
      <c r="J44" s="98" t="s">
        <v>291</v>
      </c>
      <c r="K44" s="96" t="s">
        <v>71</v>
      </c>
      <c r="L44" s="97" t="s">
        <v>47</v>
      </c>
      <c r="M44" s="98" t="s">
        <v>291</v>
      </c>
      <c r="N44" s="10"/>
      <c r="O44" s="10"/>
      <c r="P44" s="10"/>
      <c r="Q44" s="10"/>
      <c r="R44" s="10"/>
      <c r="S44" s="10"/>
      <c r="T44" s="54"/>
    </row>
    <row r="45" spans="2:20" ht="13.5">
      <c r="B45" s="52"/>
      <c r="C45" s="103" t="s">
        <v>68</v>
      </c>
      <c r="D45" s="17"/>
      <c r="E45" s="99">
        <v>28</v>
      </c>
      <c r="F45" s="46">
        <v>9</v>
      </c>
      <c r="G45" s="100">
        <f>IF(F45=0,0,F45/SUM(F$45:F$46))</f>
        <v>0.018</v>
      </c>
      <c r="H45" s="99">
        <v>28</v>
      </c>
      <c r="I45" s="46">
        <v>26</v>
      </c>
      <c r="J45" s="100">
        <f>IF(I45=0,0,I45/SUM(I$45:I$46))</f>
        <v>0.05416666666666667</v>
      </c>
      <c r="K45" s="99">
        <v>41180</v>
      </c>
      <c r="L45" s="46">
        <v>29448</v>
      </c>
      <c r="M45" s="100">
        <f>IF(L45=0,0,L45/SUM(L$45:L$46))</f>
        <v>0.06828759261191694</v>
      </c>
      <c r="N45" s="10"/>
      <c r="O45" s="84">
        <f>F45/SUM(F$45:F$46)</f>
        <v>0.018</v>
      </c>
      <c r="P45" s="84">
        <f>I45/SUM(I$45:I$46)</f>
        <v>0.05416666666666667</v>
      </c>
      <c r="Q45" s="84">
        <f>L45/SUM(L$45:L$46)</f>
        <v>0.06828759261191694</v>
      </c>
      <c r="R45" s="10"/>
      <c r="S45" s="10"/>
      <c r="T45" s="54"/>
    </row>
    <row r="46" spans="2:20" ht="13.5">
      <c r="B46" s="52"/>
      <c r="C46" s="104" t="s">
        <v>67</v>
      </c>
      <c r="D46" s="17"/>
      <c r="E46" s="101">
        <v>603</v>
      </c>
      <c r="F46" s="66">
        <v>491</v>
      </c>
      <c r="G46" s="102">
        <f>IF(F46=0,0,F46/SUM(F$45:F$46))</f>
        <v>0.982</v>
      </c>
      <c r="H46" s="101">
        <v>523</v>
      </c>
      <c r="I46" s="66">
        <v>454</v>
      </c>
      <c r="J46" s="102">
        <f>IF(I46=0,0,I46/SUM(I$45:I$46))</f>
        <v>0.9458333333333333</v>
      </c>
      <c r="K46" s="101">
        <v>548170</v>
      </c>
      <c r="L46" s="66">
        <v>401787</v>
      </c>
      <c r="M46" s="102">
        <f>IF(L46=0,0,L46/SUM(L$45:L$46))</f>
        <v>0.931712407388083</v>
      </c>
      <c r="N46" s="10"/>
      <c r="O46" s="84">
        <f>F46/SUM(F$45:F$46)</f>
        <v>0.982</v>
      </c>
      <c r="P46" s="84">
        <f>I46/SUM(I$45:I$46)</f>
        <v>0.9458333333333333</v>
      </c>
      <c r="Q46" s="84">
        <f>L46/SUM(L$45:L$46)</f>
        <v>0.931712407388083</v>
      </c>
      <c r="R46" s="10"/>
      <c r="S46" s="10"/>
      <c r="T46" s="54"/>
    </row>
    <row r="47" spans="2:20" ht="13.5">
      <c r="B47" s="52"/>
      <c r="C47" s="10"/>
      <c r="D47" s="10"/>
      <c r="E47" s="10"/>
      <c r="F47" s="10"/>
      <c r="G47" s="81"/>
      <c r="H47" s="10"/>
      <c r="I47" s="10"/>
      <c r="J47" s="81"/>
      <c r="K47" s="10"/>
      <c r="L47" s="10"/>
      <c r="M47" s="10"/>
      <c r="N47" s="10"/>
      <c r="O47" s="10"/>
      <c r="P47" s="10"/>
      <c r="Q47" s="10"/>
      <c r="R47" s="10"/>
      <c r="S47" s="10"/>
      <c r="T47" s="54"/>
    </row>
    <row r="48" spans="2:20" ht="13.5">
      <c r="B48" s="52"/>
      <c r="C48" s="313" t="s">
        <v>349</v>
      </c>
      <c r="D48" s="82"/>
      <c r="E48" s="298" t="s">
        <v>1354</v>
      </c>
      <c r="F48" s="299"/>
      <c r="G48" s="299"/>
      <c r="H48" s="299"/>
      <c r="I48" s="299"/>
      <c r="J48" s="299"/>
      <c r="K48" s="299" t="s">
        <v>5</v>
      </c>
      <c r="L48" s="299"/>
      <c r="M48" s="300"/>
      <c r="N48" s="10"/>
      <c r="O48" s="10"/>
      <c r="P48" s="10"/>
      <c r="Q48" s="10"/>
      <c r="R48" s="10"/>
      <c r="S48" s="10"/>
      <c r="T48" s="54"/>
    </row>
    <row r="49" spans="2:20" ht="13.5">
      <c r="B49" s="52"/>
      <c r="C49" s="314"/>
      <c r="D49" s="82"/>
      <c r="E49" s="316">
        <v>2012</v>
      </c>
      <c r="F49" s="315"/>
      <c r="G49" s="315"/>
      <c r="H49" s="315">
        <v>2013</v>
      </c>
      <c r="I49" s="315"/>
      <c r="J49" s="315"/>
      <c r="K49" s="315">
        <v>2013</v>
      </c>
      <c r="L49" s="315"/>
      <c r="M49" s="317"/>
      <c r="N49" s="10"/>
      <c r="O49" s="10"/>
      <c r="P49" s="10"/>
      <c r="Q49" s="10"/>
      <c r="R49" s="10"/>
      <c r="S49" s="10"/>
      <c r="T49" s="54"/>
    </row>
    <row r="50" spans="2:20" ht="13.5">
      <c r="B50" s="52"/>
      <c r="C50" s="93"/>
      <c r="D50" s="86"/>
      <c r="E50" s="96" t="s">
        <v>71</v>
      </c>
      <c r="F50" s="97" t="s">
        <v>47</v>
      </c>
      <c r="G50" s="98" t="s">
        <v>291</v>
      </c>
      <c r="H50" s="96" t="s">
        <v>71</v>
      </c>
      <c r="I50" s="97" t="s">
        <v>47</v>
      </c>
      <c r="J50" s="98" t="s">
        <v>291</v>
      </c>
      <c r="K50" s="96" t="s">
        <v>71</v>
      </c>
      <c r="L50" s="97" t="s">
        <v>47</v>
      </c>
      <c r="M50" s="98" t="s">
        <v>291</v>
      </c>
      <c r="N50" s="10"/>
      <c r="O50" s="10"/>
      <c r="P50" s="10"/>
      <c r="Q50" s="10"/>
      <c r="R50" s="10"/>
      <c r="S50" s="10"/>
      <c r="T50" s="54"/>
    </row>
    <row r="51" spans="2:20" ht="13.5">
      <c r="B51" s="52"/>
      <c r="C51" s="105" t="s">
        <v>60</v>
      </c>
      <c r="D51" s="10"/>
      <c r="E51" s="99">
        <v>81</v>
      </c>
      <c r="F51" s="10">
        <v>60</v>
      </c>
      <c r="G51" s="107"/>
      <c r="H51" s="99">
        <v>105</v>
      </c>
      <c r="I51" s="10">
        <v>66</v>
      </c>
      <c r="J51" s="107"/>
      <c r="K51" s="99">
        <v>197081</v>
      </c>
      <c r="L51" s="46">
        <v>15350</v>
      </c>
      <c r="M51" s="100"/>
      <c r="N51" s="10"/>
      <c r="O51" s="87"/>
      <c r="P51" s="87"/>
      <c r="Q51" s="87"/>
      <c r="R51" s="10"/>
      <c r="S51" s="10"/>
      <c r="T51" s="54"/>
    </row>
    <row r="52" spans="2:22" ht="13.5">
      <c r="B52" s="52"/>
      <c r="C52" s="105" t="s">
        <v>293</v>
      </c>
      <c r="D52" s="10"/>
      <c r="E52" s="99">
        <v>5</v>
      </c>
      <c r="F52" s="10">
        <v>1</v>
      </c>
      <c r="G52" s="100">
        <f>IF(F52=0,0,F52/SUM(F$52:F$72))</f>
        <v>0.002</v>
      </c>
      <c r="H52" s="99">
        <v>5</v>
      </c>
      <c r="I52" s="10">
        <v>2</v>
      </c>
      <c r="J52" s="100">
        <f>IF(I52=0,0,I52/SUM(I$52:I$72))</f>
        <v>0.004282655246252677</v>
      </c>
      <c r="K52" s="109">
        <v>13956</v>
      </c>
      <c r="L52" s="47">
        <v>12560</v>
      </c>
      <c r="M52" s="100">
        <f>IF(L52=0,0,L52/SUM(L$52:L$72))</f>
        <v>0.02634891331711001</v>
      </c>
      <c r="N52" s="10"/>
      <c r="O52" s="87">
        <f>F52/SUM(F$52:F$72)</f>
        <v>0.002</v>
      </c>
      <c r="P52" s="87">
        <f>I52/SUM(I$52:I$72)</f>
        <v>0.004282655246252677</v>
      </c>
      <c r="Q52" s="87">
        <f>L52/SUM(L$52:L$72)</f>
        <v>0.02634891331711001</v>
      </c>
      <c r="R52" s="10"/>
      <c r="S52" s="10"/>
      <c r="T52" s="54"/>
      <c r="V52" s="80"/>
    </row>
    <row r="53" spans="2:22" ht="13.5">
      <c r="B53" s="52"/>
      <c r="C53" s="105" t="s">
        <v>294</v>
      </c>
      <c r="D53" s="10"/>
      <c r="E53" s="99">
        <v>6</v>
      </c>
      <c r="F53" s="10">
        <v>4</v>
      </c>
      <c r="G53" s="100">
        <f aca="true" t="shared" si="12" ref="G53:G72">IF(F53=0,0,F53/SUM(F$52:F$72))</f>
        <v>0.008</v>
      </c>
      <c r="H53" s="99">
        <v>1</v>
      </c>
      <c r="I53" s="10">
        <v>0</v>
      </c>
      <c r="J53" s="100">
        <f aca="true" t="shared" si="13" ref="J53:J72">IF(I53=0,0,I53/SUM(I$52:I$72))</f>
        <v>0</v>
      </c>
      <c r="K53" s="109">
        <v>10568</v>
      </c>
      <c r="L53" s="47">
        <v>9563</v>
      </c>
      <c r="M53" s="100">
        <f aca="true" t="shared" si="14" ref="M53:M72">IF(L53=0,0,L53/SUM(L$52:L$72))</f>
        <v>0.02006167659645884</v>
      </c>
      <c r="N53" s="10"/>
      <c r="O53" s="87">
        <f aca="true" t="shared" si="15" ref="O53:O72">F53/SUM(F$51:F$72)</f>
        <v>0.007142857142857143</v>
      </c>
      <c r="P53" s="87">
        <f aca="true" t="shared" si="16" ref="P53:P72">I53/SUM(I$51:I$72)</f>
        <v>0</v>
      </c>
      <c r="Q53" s="87">
        <f aca="true" t="shared" si="17" ref="Q53:Q72">L53/SUM(L$51:L$72)</f>
        <v>0.019435806759750422</v>
      </c>
      <c r="R53" s="10"/>
      <c r="S53" s="10"/>
      <c r="T53" s="54"/>
      <c r="V53" s="80"/>
    </row>
    <row r="54" spans="2:22" ht="13.5">
      <c r="B54" s="52"/>
      <c r="C54" s="105" t="s">
        <v>59</v>
      </c>
      <c r="D54" s="10"/>
      <c r="E54" s="99">
        <v>8</v>
      </c>
      <c r="F54" s="10">
        <v>6</v>
      </c>
      <c r="G54" s="100">
        <f t="shared" si="12"/>
        <v>0.012</v>
      </c>
      <c r="H54" s="99">
        <v>6</v>
      </c>
      <c r="I54" s="10">
        <v>3</v>
      </c>
      <c r="J54" s="100">
        <f t="shared" si="13"/>
        <v>0.006423982869379015</v>
      </c>
      <c r="K54" s="109">
        <v>12532</v>
      </c>
      <c r="L54" s="47">
        <v>12435</v>
      </c>
      <c r="M54" s="100">
        <f t="shared" si="14"/>
        <v>0.026086682889989093</v>
      </c>
      <c r="N54" s="10"/>
      <c r="O54" s="87">
        <f t="shared" si="15"/>
        <v>0.010714285714285714</v>
      </c>
      <c r="P54" s="87">
        <f t="shared" si="16"/>
        <v>0.005628517823639775</v>
      </c>
      <c r="Q54" s="87">
        <f t="shared" si="17"/>
        <v>0.025272849216511187</v>
      </c>
      <c r="R54" s="10"/>
      <c r="S54" s="10"/>
      <c r="T54" s="54"/>
      <c r="V54" s="80"/>
    </row>
    <row r="55" spans="2:22" ht="13.5">
      <c r="B55" s="52"/>
      <c r="C55" s="105" t="s">
        <v>295</v>
      </c>
      <c r="D55" s="10"/>
      <c r="E55" s="99">
        <v>13</v>
      </c>
      <c r="F55" s="10">
        <v>10</v>
      </c>
      <c r="G55" s="100">
        <f t="shared" si="12"/>
        <v>0.02</v>
      </c>
      <c r="H55" s="99">
        <v>4</v>
      </c>
      <c r="I55" s="10">
        <v>2</v>
      </c>
      <c r="J55" s="100">
        <f t="shared" si="13"/>
        <v>0.004282655246252677</v>
      </c>
      <c r="K55" s="109">
        <v>15688</v>
      </c>
      <c r="L55" s="47">
        <v>15423</v>
      </c>
      <c r="M55" s="100">
        <f t="shared" si="14"/>
        <v>0.03235503901988756</v>
      </c>
      <c r="N55" s="10"/>
      <c r="O55" s="87">
        <f t="shared" si="15"/>
        <v>0.017857142857142856</v>
      </c>
      <c r="P55" s="87">
        <f t="shared" si="16"/>
        <v>0.00375234521575985</v>
      </c>
      <c r="Q55" s="87">
        <f t="shared" si="17"/>
        <v>0.03134564965550881</v>
      </c>
      <c r="R55" s="10"/>
      <c r="S55" s="10"/>
      <c r="T55" s="54"/>
      <c r="V55" s="80"/>
    </row>
    <row r="56" spans="2:22" ht="13.5">
      <c r="B56" s="52"/>
      <c r="C56" s="105" t="s">
        <v>296</v>
      </c>
      <c r="D56" s="10"/>
      <c r="E56" s="99">
        <v>17</v>
      </c>
      <c r="F56" s="10">
        <v>14</v>
      </c>
      <c r="G56" s="100">
        <f t="shared" si="12"/>
        <v>0.028</v>
      </c>
      <c r="H56" s="99">
        <v>13</v>
      </c>
      <c r="I56" s="10">
        <v>10</v>
      </c>
      <c r="J56" s="100">
        <f t="shared" si="13"/>
        <v>0.021413276231263382</v>
      </c>
      <c r="K56" s="109">
        <v>15645</v>
      </c>
      <c r="L56" s="47">
        <v>14235</v>
      </c>
      <c r="M56" s="100">
        <f t="shared" si="14"/>
        <v>0.029862801040530334</v>
      </c>
      <c r="N56" s="10"/>
      <c r="O56" s="87">
        <f t="shared" si="15"/>
        <v>0.025</v>
      </c>
      <c r="P56" s="87">
        <f t="shared" si="16"/>
        <v>0.01876172607879925</v>
      </c>
      <c r="Q56" s="87">
        <f t="shared" si="17"/>
        <v>0.028931162733979634</v>
      </c>
      <c r="R56" s="10"/>
      <c r="S56" s="10"/>
      <c r="T56" s="54"/>
      <c r="V56" s="80"/>
    </row>
    <row r="57" spans="2:22" ht="13.5">
      <c r="B57" s="52"/>
      <c r="C57" s="105" t="s">
        <v>297</v>
      </c>
      <c r="D57" s="10"/>
      <c r="E57" s="99">
        <v>15</v>
      </c>
      <c r="F57" s="10">
        <v>12</v>
      </c>
      <c r="G57" s="100">
        <f t="shared" si="12"/>
        <v>0.024</v>
      </c>
      <c r="H57" s="99">
        <v>14</v>
      </c>
      <c r="I57" s="10">
        <v>11</v>
      </c>
      <c r="J57" s="100">
        <f t="shared" si="13"/>
        <v>0.023554603854389723</v>
      </c>
      <c r="K57" s="109">
        <v>15442</v>
      </c>
      <c r="L57" s="47">
        <v>14256</v>
      </c>
      <c r="M57" s="100">
        <f t="shared" si="14"/>
        <v>0.02990685575228665</v>
      </c>
      <c r="N57" s="10"/>
      <c r="O57" s="87">
        <f t="shared" si="15"/>
        <v>0.02142857142857143</v>
      </c>
      <c r="P57" s="87">
        <f t="shared" si="16"/>
        <v>0.020637898686679174</v>
      </c>
      <c r="Q57" s="87">
        <f t="shared" si="17"/>
        <v>0.0289738430583501</v>
      </c>
      <c r="R57" s="10"/>
      <c r="S57" s="10"/>
      <c r="T57" s="54"/>
      <c r="V57" s="80"/>
    </row>
    <row r="58" spans="2:22" ht="13.5">
      <c r="B58" s="52"/>
      <c r="C58" s="105" t="s">
        <v>298</v>
      </c>
      <c r="D58" s="10"/>
      <c r="E58" s="99">
        <v>17</v>
      </c>
      <c r="F58" s="10">
        <v>12</v>
      </c>
      <c r="G58" s="100">
        <f t="shared" si="12"/>
        <v>0.024</v>
      </c>
      <c r="H58" s="99">
        <v>18</v>
      </c>
      <c r="I58" s="10">
        <v>16</v>
      </c>
      <c r="J58" s="100">
        <f t="shared" si="13"/>
        <v>0.034261241970021415</v>
      </c>
      <c r="K58" s="109">
        <v>23525</v>
      </c>
      <c r="L58" s="47">
        <v>21456</v>
      </c>
      <c r="M58" s="100">
        <f t="shared" si="14"/>
        <v>0.045011328354451624</v>
      </c>
      <c r="N58" s="10"/>
      <c r="O58" s="87">
        <f t="shared" si="15"/>
        <v>0.02142857142857143</v>
      </c>
      <c r="P58" s="87">
        <f t="shared" si="16"/>
        <v>0.0300187617260788</v>
      </c>
      <c r="Q58" s="87">
        <f t="shared" si="17"/>
        <v>0.04360709712822389</v>
      </c>
      <c r="R58" s="10"/>
      <c r="S58" s="10"/>
      <c r="T58" s="54"/>
      <c r="V58" s="80"/>
    </row>
    <row r="59" spans="2:22" ht="13.5">
      <c r="B59" s="52"/>
      <c r="C59" s="105" t="s">
        <v>299</v>
      </c>
      <c r="D59" s="10"/>
      <c r="E59" s="99">
        <v>30</v>
      </c>
      <c r="F59" s="10">
        <v>26</v>
      </c>
      <c r="G59" s="100">
        <f t="shared" si="12"/>
        <v>0.052</v>
      </c>
      <c r="H59" s="99">
        <v>28</v>
      </c>
      <c r="I59" s="10">
        <v>25</v>
      </c>
      <c r="J59" s="100">
        <f t="shared" si="13"/>
        <v>0.05353319057815846</v>
      </c>
      <c r="K59" s="109">
        <v>25485</v>
      </c>
      <c r="L59" s="47">
        <v>23569</v>
      </c>
      <c r="M59" s="100">
        <f t="shared" si="14"/>
        <v>0.04944407149450365</v>
      </c>
      <c r="N59" s="10"/>
      <c r="O59" s="87">
        <f t="shared" si="15"/>
        <v>0.04642857142857143</v>
      </c>
      <c r="P59" s="87">
        <f t="shared" si="16"/>
        <v>0.04690431519699812</v>
      </c>
      <c r="Q59" s="87">
        <f t="shared" si="17"/>
        <v>0.047901550718452125</v>
      </c>
      <c r="R59" s="10"/>
      <c r="S59" s="10"/>
      <c r="T59" s="54"/>
      <c r="V59" s="80"/>
    </row>
    <row r="60" spans="2:22" ht="13.5">
      <c r="B60" s="52"/>
      <c r="C60" s="105" t="s">
        <v>300</v>
      </c>
      <c r="D60" s="10"/>
      <c r="E60" s="99">
        <v>51</v>
      </c>
      <c r="F60" s="10">
        <v>35</v>
      </c>
      <c r="G60" s="100">
        <f t="shared" si="12"/>
        <v>0.07</v>
      </c>
      <c r="H60" s="99">
        <v>46</v>
      </c>
      <c r="I60" s="10">
        <v>43</v>
      </c>
      <c r="J60" s="100">
        <f t="shared" si="13"/>
        <v>0.09207708779443255</v>
      </c>
      <c r="K60" s="109">
        <v>42235</v>
      </c>
      <c r="L60" s="47">
        <v>41025</v>
      </c>
      <c r="M60" s="100">
        <f t="shared" si="14"/>
        <v>0.08606402618108584</v>
      </c>
      <c r="N60" s="10"/>
      <c r="O60" s="87">
        <f t="shared" si="15"/>
        <v>0.0625</v>
      </c>
      <c r="P60" s="87">
        <f t="shared" si="16"/>
        <v>0.08067542213883677</v>
      </c>
      <c r="Q60" s="87">
        <f t="shared" si="17"/>
        <v>0.08337906225230168</v>
      </c>
      <c r="R60" s="10"/>
      <c r="S60" s="10"/>
      <c r="T60" s="54"/>
      <c r="V60" s="80"/>
    </row>
    <row r="61" spans="2:22" ht="13.5">
      <c r="B61" s="52"/>
      <c r="C61" s="105" t="s">
        <v>301</v>
      </c>
      <c r="D61" s="10"/>
      <c r="E61" s="99">
        <v>55</v>
      </c>
      <c r="F61" s="10">
        <v>50</v>
      </c>
      <c r="G61" s="100">
        <f t="shared" si="12"/>
        <v>0.1</v>
      </c>
      <c r="H61" s="99">
        <v>54</v>
      </c>
      <c r="I61" s="10">
        <v>50</v>
      </c>
      <c r="J61" s="100">
        <f t="shared" si="13"/>
        <v>0.10706638115631692</v>
      </c>
      <c r="K61" s="109">
        <v>35264</v>
      </c>
      <c r="L61" s="47">
        <v>32525</v>
      </c>
      <c r="M61" s="100">
        <f t="shared" si="14"/>
        <v>0.0682323571368633</v>
      </c>
      <c r="N61" s="10"/>
      <c r="O61" s="87">
        <f t="shared" si="15"/>
        <v>0.08928571428571429</v>
      </c>
      <c r="P61" s="87">
        <f t="shared" si="16"/>
        <v>0.09380863039399624</v>
      </c>
      <c r="Q61" s="87">
        <f t="shared" si="17"/>
        <v>0.06610369286425624</v>
      </c>
      <c r="R61" s="10"/>
      <c r="S61" s="10"/>
      <c r="T61" s="54"/>
      <c r="V61" s="80"/>
    </row>
    <row r="62" spans="2:22" ht="13.5">
      <c r="B62" s="52"/>
      <c r="C62" s="105" t="s">
        <v>302</v>
      </c>
      <c r="D62" s="10"/>
      <c r="E62" s="99">
        <v>66</v>
      </c>
      <c r="F62" s="10">
        <v>55</v>
      </c>
      <c r="G62" s="100">
        <f t="shared" si="12"/>
        <v>0.11</v>
      </c>
      <c r="H62" s="99">
        <v>53</v>
      </c>
      <c r="I62" s="10">
        <v>48</v>
      </c>
      <c r="J62" s="100">
        <f t="shared" si="13"/>
        <v>0.10278372591006424</v>
      </c>
      <c r="K62" s="109">
        <v>34565</v>
      </c>
      <c r="L62" s="47">
        <v>34121</v>
      </c>
      <c r="M62" s="100">
        <f t="shared" si="14"/>
        <v>0.07158051523034321</v>
      </c>
      <c r="N62" s="10"/>
      <c r="O62" s="87">
        <f t="shared" si="15"/>
        <v>0.09821428571428571</v>
      </c>
      <c r="P62" s="87">
        <f t="shared" si="16"/>
        <v>0.0900562851782364</v>
      </c>
      <c r="Q62" s="87">
        <f t="shared" si="17"/>
        <v>0.0693473975164116</v>
      </c>
      <c r="R62" s="10"/>
      <c r="S62" s="10"/>
      <c r="T62" s="54"/>
      <c r="V62" s="80"/>
    </row>
    <row r="63" spans="2:22" ht="13.5">
      <c r="B63" s="52"/>
      <c r="C63" s="105" t="s">
        <v>303</v>
      </c>
      <c r="D63" s="10"/>
      <c r="E63" s="99">
        <v>85</v>
      </c>
      <c r="F63" s="10">
        <v>84</v>
      </c>
      <c r="G63" s="100">
        <f t="shared" si="12"/>
        <v>0.168</v>
      </c>
      <c r="H63" s="99">
        <v>76</v>
      </c>
      <c r="I63" s="10">
        <v>73</v>
      </c>
      <c r="J63" s="100">
        <f t="shared" si="13"/>
        <v>0.15631691648822268</v>
      </c>
      <c r="K63" s="109">
        <v>42263</v>
      </c>
      <c r="L63" s="47">
        <v>39526</v>
      </c>
      <c r="M63" s="100">
        <f t="shared" si="14"/>
        <v>0.08291935889905178</v>
      </c>
      <c r="N63" s="10"/>
      <c r="O63" s="87">
        <f t="shared" si="15"/>
        <v>0.15</v>
      </c>
      <c r="P63" s="87">
        <f t="shared" si="16"/>
        <v>0.13696060037523453</v>
      </c>
      <c r="Q63" s="87">
        <f t="shared" si="17"/>
        <v>0.08033250005080991</v>
      </c>
      <c r="R63" s="10"/>
      <c r="S63" s="10"/>
      <c r="T63" s="54"/>
      <c r="V63" s="80"/>
    </row>
    <row r="64" spans="2:22" ht="13.5">
      <c r="B64" s="52"/>
      <c r="C64" s="105" t="s">
        <v>304</v>
      </c>
      <c r="D64" s="10"/>
      <c r="E64" s="99">
        <v>73</v>
      </c>
      <c r="F64" s="10">
        <v>70</v>
      </c>
      <c r="G64" s="100">
        <f t="shared" si="12"/>
        <v>0.14</v>
      </c>
      <c r="H64" s="99">
        <v>65</v>
      </c>
      <c r="I64" s="10">
        <v>62</v>
      </c>
      <c r="J64" s="100">
        <f t="shared" si="13"/>
        <v>0.13276231263383298</v>
      </c>
      <c r="K64" s="109">
        <v>52122</v>
      </c>
      <c r="L64" s="47">
        <v>51685</v>
      </c>
      <c r="M64" s="100">
        <f t="shared" si="14"/>
        <v>0.10842703700595788</v>
      </c>
      <c r="N64" s="10"/>
      <c r="O64" s="87">
        <f t="shared" si="15"/>
        <v>0.125</v>
      </c>
      <c r="P64" s="87">
        <f t="shared" si="16"/>
        <v>0.11632270168855535</v>
      </c>
      <c r="Q64" s="87">
        <f t="shared" si="17"/>
        <v>0.10504440786130927</v>
      </c>
      <c r="R64" s="10"/>
      <c r="S64" s="10"/>
      <c r="T64" s="54"/>
      <c r="V64" s="80"/>
    </row>
    <row r="65" spans="2:22" ht="13.5">
      <c r="B65" s="52"/>
      <c r="C65" s="105" t="s">
        <v>305</v>
      </c>
      <c r="D65" s="10"/>
      <c r="E65" s="99">
        <v>20</v>
      </c>
      <c r="F65" s="10">
        <v>18</v>
      </c>
      <c r="G65" s="100">
        <f t="shared" si="12"/>
        <v>0.036</v>
      </c>
      <c r="H65" s="99">
        <v>30</v>
      </c>
      <c r="I65" s="10">
        <v>28</v>
      </c>
      <c r="J65" s="100">
        <f t="shared" si="13"/>
        <v>0.059957173447537475</v>
      </c>
      <c r="K65" s="109">
        <v>12354</v>
      </c>
      <c r="L65" s="47">
        <v>10256</v>
      </c>
      <c r="M65" s="100">
        <f t="shared" si="14"/>
        <v>0.02151548208441722</v>
      </c>
      <c r="N65" s="10"/>
      <c r="O65" s="87">
        <f t="shared" si="15"/>
        <v>0.03214285714285714</v>
      </c>
      <c r="P65" s="87">
        <f t="shared" si="16"/>
        <v>0.0525328330206379</v>
      </c>
      <c r="Q65" s="87">
        <f t="shared" si="17"/>
        <v>0.020844257463975772</v>
      </c>
      <c r="R65" s="10"/>
      <c r="S65" s="10"/>
      <c r="T65" s="54"/>
      <c r="V65" s="80"/>
    </row>
    <row r="66" spans="2:22" ht="13.5">
      <c r="B66" s="52"/>
      <c r="C66" s="105" t="s">
        <v>306</v>
      </c>
      <c r="D66" s="10"/>
      <c r="E66" s="99">
        <v>18</v>
      </c>
      <c r="F66" s="10">
        <v>15</v>
      </c>
      <c r="G66" s="100">
        <f t="shared" si="12"/>
        <v>0.03</v>
      </c>
      <c r="H66" s="99">
        <v>16</v>
      </c>
      <c r="I66" s="10">
        <v>12</v>
      </c>
      <c r="J66" s="100">
        <f t="shared" si="13"/>
        <v>0.02569593147751606</v>
      </c>
      <c r="K66" s="109">
        <v>43252</v>
      </c>
      <c r="L66" s="47">
        <v>41232</v>
      </c>
      <c r="M66" s="100">
        <f t="shared" si="14"/>
        <v>0.08649827976839809</v>
      </c>
      <c r="N66" s="10"/>
      <c r="O66" s="87">
        <f t="shared" si="15"/>
        <v>0.026785714285714284</v>
      </c>
      <c r="P66" s="87">
        <f t="shared" si="16"/>
        <v>0.0225140712945591</v>
      </c>
      <c r="Q66" s="87">
        <f t="shared" si="17"/>
        <v>0.08379976830681056</v>
      </c>
      <c r="R66" s="10"/>
      <c r="S66" s="10"/>
      <c r="T66" s="54"/>
      <c r="V66" s="80"/>
    </row>
    <row r="67" spans="2:22" ht="13.5">
      <c r="B67" s="52"/>
      <c r="C67" s="105" t="s">
        <v>307</v>
      </c>
      <c r="D67" s="10"/>
      <c r="E67" s="99">
        <v>11</v>
      </c>
      <c r="F67" s="10">
        <v>9</v>
      </c>
      <c r="G67" s="100">
        <f t="shared" si="12"/>
        <v>0.018</v>
      </c>
      <c r="H67" s="99">
        <v>15</v>
      </c>
      <c r="I67" s="10">
        <v>14</v>
      </c>
      <c r="J67" s="100">
        <f t="shared" si="13"/>
        <v>0.029978586723768737</v>
      </c>
      <c r="K67" s="109">
        <v>35645</v>
      </c>
      <c r="L67" s="47">
        <v>32565</v>
      </c>
      <c r="M67" s="100">
        <f t="shared" si="14"/>
        <v>0.068316270873542</v>
      </c>
      <c r="N67" s="10"/>
      <c r="O67" s="87">
        <f t="shared" si="15"/>
        <v>0.01607142857142857</v>
      </c>
      <c r="P67" s="87">
        <f t="shared" si="16"/>
        <v>0.02626641651031895</v>
      </c>
      <c r="Q67" s="87">
        <f t="shared" si="17"/>
        <v>0.06618498872019998</v>
      </c>
      <c r="R67" s="10"/>
      <c r="S67" s="10"/>
      <c r="T67" s="54"/>
      <c r="V67" s="80"/>
    </row>
    <row r="68" spans="2:22" ht="13.5">
      <c r="B68" s="52"/>
      <c r="C68" s="105" t="s">
        <v>308</v>
      </c>
      <c r="D68" s="10"/>
      <c r="E68" s="99">
        <v>20</v>
      </c>
      <c r="F68" s="10">
        <v>20</v>
      </c>
      <c r="G68" s="100">
        <f t="shared" si="12"/>
        <v>0.04</v>
      </c>
      <c r="H68" s="99">
        <v>18</v>
      </c>
      <c r="I68" s="10">
        <v>16</v>
      </c>
      <c r="J68" s="100">
        <f t="shared" si="13"/>
        <v>0.034261241970021415</v>
      </c>
      <c r="K68" s="109">
        <v>23145</v>
      </c>
      <c r="L68" s="47">
        <v>22320</v>
      </c>
      <c r="M68" s="100">
        <f t="shared" si="14"/>
        <v>0.04682386506671142</v>
      </c>
      <c r="N68" s="10"/>
      <c r="O68" s="87">
        <f t="shared" si="15"/>
        <v>0.03571428571428571</v>
      </c>
      <c r="P68" s="87">
        <f t="shared" si="16"/>
        <v>0.0300187617260788</v>
      </c>
      <c r="Q68" s="87">
        <f t="shared" si="17"/>
        <v>0.04536308761660875</v>
      </c>
      <c r="R68" s="10"/>
      <c r="S68" s="10"/>
      <c r="T68" s="54"/>
      <c r="V68" s="80"/>
    </row>
    <row r="69" spans="2:22" ht="13.5">
      <c r="B69" s="52"/>
      <c r="C69" s="105" t="s">
        <v>309</v>
      </c>
      <c r="D69" s="10"/>
      <c r="E69" s="99">
        <v>25</v>
      </c>
      <c r="F69" s="10">
        <v>25</v>
      </c>
      <c r="G69" s="100">
        <f t="shared" si="12"/>
        <v>0.05</v>
      </c>
      <c r="H69" s="99">
        <v>21</v>
      </c>
      <c r="I69" s="10">
        <v>20</v>
      </c>
      <c r="J69" s="100">
        <f t="shared" si="13"/>
        <v>0.042826552462526764</v>
      </c>
      <c r="K69" s="109">
        <v>23654</v>
      </c>
      <c r="L69" s="47">
        <v>22325</v>
      </c>
      <c r="M69" s="100">
        <f t="shared" si="14"/>
        <v>0.04683435428379626</v>
      </c>
      <c r="N69" s="10"/>
      <c r="O69" s="87">
        <f t="shared" si="15"/>
        <v>0.044642857142857144</v>
      </c>
      <c r="P69" s="87">
        <f t="shared" si="16"/>
        <v>0.0375234521575985</v>
      </c>
      <c r="Q69" s="87">
        <f t="shared" si="17"/>
        <v>0.045373249598601714</v>
      </c>
      <c r="R69" s="10"/>
      <c r="S69" s="10"/>
      <c r="T69" s="54"/>
      <c r="V69" s="80"/>
    </row>
    <row r="70" spans="2:22" ht="13.5">
      <c r="B70" s="52"/>
      <c r="C70" s="105" t="s">
        <v>310</v>
      </c>
      <c r="D70" s="10"/>
      <c r="E70" s="99">
        <v>18</v>
      </c>
      <c r="F70" s="10">
        <v>18</v>
      </c>
      <c r="G70" s="100">
        <f t="shared" si="12"/>
        <v>0.036</v>
      </c>
      <c r="H70" s="99">
        <v>20</v>
      </c>
      <c r="I70" s="10">
        <v>18</v>
      </c>
      <c r="J70" s="100">
        <f t="shared" si="13"/>
        <v>0.03854389721627409</v>
      </c>
      <c r="K70" s="109">
        <v>10252</v>
      </c>
      <c r="L70" s="47">
        <v>10121</v>
      </c>
      <c r="M70" s="100">
        <f t="shared" si="14"/>
        <v>0.021232273223126624</v>
      </c>
      <c r="N70" s="10"/>
      <c r="O70" s="87">
        <f t="shared" si="15"/>
        <v>0.03214285714285714</v>
      </c>
      <c r="P70" s="87">
        <f t="shared" si="16"/>
        <v>0.03377110694183865</v>
      </c>
      <c r="Q70" s="87">
        <f t="shared" si="17"/>
        <v>0.02056988395016564</v>
      </c>
      <c r="R70" s="10"/>
      <c r="S70" s="10"/>
      <c r="T70" s="54"/>
      <c r="V70" s="80"/>
    </row>
    <row r="71" spans="2:22" ht="13.5">
      <c r="B71" s="52"/>
      <c r="C71" s="105" t="s">
        <v>311</v>
      </c>
      <c r="D71" s="10"/>
      <c r="E71" s="99">
        <v>10</v>
      </c>
      <c r="F71" s="10">
        <v>10</v>
      </c>
      <c r="G71" s="100">
        <f t="shared" si="12"/>
        <v>0.02</v>
      </c>
      <c r="H71" s="99">
        <v>12</v>
      </c>
      <c r="I71" s="10">
        <v>11</v>
      </c>
      <c r="J71" s="100">
        <f t="shared" si="13"/>
        <v>0.023554603854389723</v>
      </c>
      <c r="K71" s="109">
        <v>8965</v>
      </c>
      <c r="L71" s="47">
        <v>8961</v>
      </c>
      <c r="M71" s="100">
        <f t="shared" si="14"/>
        <v>0.018798774859444492</v>
      </c>
      <c r="N71" s="10"/>
      <c r="O71" s="87">
        <f t="shared" si="15"/>
        <v>0.017857142857142856</v>
      </c>
      <c r="P71" s="87">
        <f t="shared" si="16"/>
        <v>0.020637898686679174</v>
      </c>
      <c r="Q71" s="87">
        <f t="shared" si="17"/>
        <v>0.018212304127797084</v>
      </c>
      <c r="R71" s="10"/>
      <c r="S71" s="10"/>
      <c r="T71" s="54"/>
      <c r="V71" s="80"/>
    </row>
    <row r="72" spans="2:22" ht="13.5">
      <c r="B72" s="52"/>
      <c r="C72" s="106" t="s">
        <v>312</v>
      </c>
      <c r="D72" s="10"/>
      <c r="E72" s="101">
        <v>6</v>
      </c>
      <c r="F72" s="108">
        <v>6</v>
      </c>
      <c r="G72" s="102">
        <f t="shared" si="12"/>
        <v>0.012</v>
      </c>
      <c r="H72" s="101">
        <v>3</v>
      </c>
      <c r="I72" s="108">
        <v>3</v>
      </c>
      <c r="J72" s="102">
        <f t="shared" si="13"/>
        <v>0.006423982869379015</v>
      </c>
      <c r="K72" s="110">
        <v>6523</v>
      </c>
      <c r="L72" s="72">
        <v>6521</v>
      </c>
      <c r="M72" s="102">
        <f t="shared" si="14"/>
        <v>0.013680036922044139</v>
      </c>
      <c r="N72" s="10"/>
      <c r="O72" s="87">
        <f t="shared" si="15"/>
        <v>0.010714285714285714</v>
      </c>
      <c r="P72" s="87">
        <f t="shared" si="16"/>
        <v>0.005628517823639775</v>
      </c>
      <c r="Q72" s="87">
        <f t="shared" si="17"/>
        <v>0.013253256915228747</v>
      </c>
      <c r="R72" s="10"/>
      <c r="S72" s="10"/>
      <c r="T72" s="54"/>
      <c r="V72" s="80"/>
    </row>
    <row r="73" spans="2:20" ht="13.5">
      <c r="B73" s="52"/>
      <c r="C73" s="10"/>
      <c r="D73" s="10"/>
      <c r="E73" s="10"/>
      <c r="F73" s="10"/>
      <c r="G73" s="81"/>
      <c r="H73" s="10"/>
      <c r="I73" s="10"/>
      <c r="J73" s="81"/>
      <c r="K73" s="10"/>
      <c r="L73" s="10"/>
      <c r="M73" s="10"/>
      <c r="N73" s="10"/>
      <c r="O73" s="10"/>
      <c r="P73" s="10"/>
      <c r="Q73" s="10"/>
      <c r="R73" s="10"/>
      <c r="S73" s="10"/>
      <c r="T73" s="54"/>
    </row>
    <row r="74" spans="2:20" ht="14.25" thickBot="1">
      <c r="B74" s="89"/>
      <c r="C74" s="90"/>
      <c r="D74" s="90"/>
      <c r="E74" s="90"/>
      <c r="F74" s="90"/>
      <c r="G74" s="91"/>
      <c r="H74" s="90"/>
      <c r="I74" s="90"/>
      <c r="J74" s="91"/>
      <c r="K74" s="90"/>
      <c r="L74" s="90"/>
      <c r="M74" s="90"/>
      <c r="N74" s="90"/>
      <c r="O74" s="90"/>
      <c r="P74" s="90"/>
      <c r="Q74" s="90"/>
      <c r="R74" s="90"/>
      <c r="S74" s="90"/>
      <c r="T74" s="92"/>
    </row>
  </sheetData>
  <sheetProtection/>
  <mergeCells count="31">
    <mergeCell ref="O14:S14"/>
    <mergeCell ref="K15:M15"/>
    <mergeCell ref="K16:M16"/>
    <mergeCell ref="K26:M26"/>
    <mergeCell ref="E26:J26"/>
    <mergeCell ref="E15:J15"/>
    <mergeCell ref="C15:C16"/>
    <mergeCell ref="C26:C27"/>
    <mergeCell ref="K32:M32"/>
    <mergeCell ref="H33:J33"/>
    <mergeCell ref="K33:M33"/>
    <mergeCell ref="K27:M27"/>
    <mergeCell ref="E16:G16"/>
    <mergeCell ref="H16:J16"/>
    <mergeCell ref="E27:G27"/>
    <mergeCell ref="E32:J32"/>
    <mergeCell ref="H27:J27"/>
    <mergeCell ref="K43:M43"/>
    <mergeCell ref="E43:G43"/>
    <mergeCell ref="K49:M49"/>
    <mergeCell ref="E33:G33"/>
    <mergeCell ref="K42:M42"/>
    <mergeCell ref="E42:J42"/>
    <mergeCell ref="C48:C49"/>
    <mergeCell ref="E48:J48"/>
    <mergeCell ref="C42:C43"/>
    <mergeCell ref="H43:J43"/>
    <mergeCell ref="C32:C33"/>
    <mergeCell ref="K48:M48"/>
    <mergeCell ref="E49:G49"/>
    <mergeCell ref="H49:J49"/>
  </mergeCells>
  <dataValidations count="3">
    <dataValidation allowBlank="1" showInputMessage="1" showErrorMessage="1" promptTitle="% accepted" prompt="percentage of applicants accepted" sqref="J44 M50 G50 M44 J34 J50 J28 J17 G44 M34 G34 M28 G28 M17 G17"/>
    <dataValidation allowBlank="1" showInputMessage="1" showErrorMessage="1" promptTitle="applicants" prompt="the number of applicants with your centre code that applied to UCAS" sqref="K44 K50 H50 E50 H44 E44 H34 E34 H28 E28 H17 E17 K34 K28 K17"/>
    <dataValidation allowBlank="1" showInputMessage="1" showErrorMessage="1" promptTitle="accepts" prompt="The number of applicants who accepted a place" sqref="F17 L50 I50 F50 L44 I44 F44 L34 I34 F34 L28 I28 F28 L17 I17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9FEE"/>
    <pageSetUpPr fitToPage="1"/>
  </sheetPr>
  <dimension ref="B4:V359"/>
  <sheetViews>
    <sheetView showGridLines="0"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111" customWidth="1"/>
    <col min="2" max="2" width="4.140625" style="111" customWidth="1"/>
    <col min="3" max="3" width="32.28125" style="111" customWidth="1"/>
    <col min="4" max="4" width="12.57421875" style="111" customWidth="1"/>
    <col min="5" max="6" width="13.7109375" style="111" customWidth="1"/>
    <col min="7" max="7" width="14.57421875" style="112" bestFit="1" customWidth="1"/>
    <col min="8" max="8" width="16.00390625" style="111" bestFit="1" customWidth="1"/>
    <col min="9" max="9" width="11.8515625" style="111" customWidth="1"/>
    <col min="10" max="10" width="3.00390625" style="113" customWidth="1"/>
    <col min="11" max="19" width="9.140625" style="83" customWidth="1"/>
    <col min="20" max="21" width="9.140625" style="114" customWidth="1"/>
    <col min="22" max="22" width="9.140625" style="113" customWidth="1"/>
    <col min="23" max="25" width="9.140625" style="114" customWidth="1"/>
    <col min="26" max="16384" width="9.140625" style="111" customWidth="1"/>
  </cols>
  <sheetData>
    <row r="1" ht="12.75"/>
    <row r="2" ht="12.75"/>
    <row r="3" ht="12.75"/>
    <row r="4" ht="15.75">
      <c r="C4" s="48" t="s">
        <v>274</v>
      </c>
    </row>
    <row r="5" ht="12.75">
      <c r="J5" s="9" t="s">
        <v>1622</v>
      </c>
    </row>
    <row r="6" ht="14.25" thickBot="1"/>
    <row r="7" spans="2:17" ht="13.5">
      <c r="B7" s="135"/>
      <c r="C7" s="136"/>
      <c r="D7" s="136"/>
      <c r="E7" s="136"/>
      <c r="F7" s="136"/>
      <c r="G7" s="137"/>
      <c r="H7" s="136"/>
      <c r="I7" s="136"/>
      <c r="J7" s="138"/>
      <c r="N7" s="83" t="s">
        <v>1039</v>
      </c>
      <c r="O7" s="115"/>
      <c r="P7" s="115"/>
      <c r="Q7" s="115" t="s">
        <v>1038</v>
      </c>
    </row>
    <row r="8" spans="2:19" ht="13.5">
      <c r="B8" s="139"/>
      <c r="C8" s="116"/>
      <c r="D8" s="116"/>
      <c r="E8" s="116"/>
      <c r="F8" s="116"/>
      <c r="G8" s="117"/>
      <c r="H8" s="116"/>
      <c r="I8" s="116"/>
      <c r="J8" s="140"/>
      <c r="M8" s="83" t="s">
        <v>1037</v>
      </c>
      <c r="N8" s="115" t="s">
        <v>1035</v>
      </c>
      <c r="O8" s="115" t="s">
        <v>1033</v>
      </c>
      <c r="P8" s="115" t="s">
        <v>1034</v>
      </c>
      <c r="Q8" s="115" t="s">
        <v>1035</v>
      </c>
      <c r="R8" s="115" t="s">
        <v>1033</v>
      </c>
      <c r="S8" s="115" t="s">
        <v>1034</v>
      </c>
    </row>
    <row r="9" spans="2:19" ht="13.5">
      <c r="B9" s="139"/>
      <c r="C9" s="118" t="s">
        <v>1611</v>
      </c>
      <c r="D9" s="118"/>
      <c r="E9" s="119"/>
      <c r="F9" s="116"/>
      <c r="G9" s="117"/>
      <c r="H9" s="116"/>
      <c r="I9" s="116"/>
      <c r="J9" s="140"/>
      <c r="L9" s="83" t="s">
        <v>1046</v>
      </c>
      <c r="M9" s="83">
        <v>1</v>
      </c>
      <c r="N9" s="120">
        <v>623</v>
      </c>
      <c r="O9" s="120">
        <v>2756</v>
      </c>
      <c r="P9" s="120">
        <v>533</v>
      </c>
      <c r="Q9" s="120">
        <v>700161</v>
      </c>
      <c r="R9" s="120">
        <v>2847015</v>
      </c>
      <c r="S9" s="120">
        <v>492030</v>
      </c>
    </row>
    <row r="10" spans="2:19" ht="13.5">
      <c r="B10" s="139"/>
      <c r="C10" s="53" t="s">
        <v>1612</v>
      </c>
      <c r="D10" s="53"/>
      <c r="E10" s="119"/>
      <c r="F10" s="116"/>
      <c r="G10" s="117"/>
      <c r="H10" s="116"/>
      <c r="I10" s="116"/>
      <c r="J10" s="140"/>
      <c r="L10" s="83" t="s">
        <v>1047</v>
      </c>
      <c r="N10" s="120">
        <v>623</v>
      </c>
      <c r="O10" s="120">
        <v>2756</v>
      </c>
      <c r="P10" s="120">
        <v>533</v>
      </c>
      <c r="Q10" s="120">
        <v>700161</v>
      </c>
      <c r="R10" s="120">
        <v>2847015</v>
      </c>
      <c r="S10" s="120">
        <v>492030</v>
      </c>
    </row>
    <row r="11" spans="2:19" ht="13.5">
      <c r="B11" s="139"/>
      <c r="C11" s="53"/>
      <c r="D11" s="53"/>
      <c r="E11" s="119"/>
      <c r="F11" s="116"/>
      <c r="G11" s="117"/>
      <c r="H11" s="116"/>
      <c r="I11" s="116"/>
      <c r="J11" s="140"/>
      <c r="L11" s="83" t="s">
        <v>1048</v>
      </c>
      <c r="N11" s="120">
        <v>623</v>
      </c>
      <c r="O11" s="120">
        <v>2756</v>
      </c>
      <c r="P11" s="120">
        <v>533</v>
      </c>
      <c r="Q11" s="120">
        <v>700161</v>
      </c>
      <c r="R11" s="120">
        <v>2847015</v>
      </c>
      <c r="S11" s="120">
        <v>492030</v>
      </c>
    </row>
    <row r="12" spans="2:19" ht="13.5">
      <c r="B12" s="139"/>
      <c r="C12" s="53" t="s">
        <v>1613</v>
      </c>
      <c r="D12" s="53"/>
      <c r="E12" s="119"/>
      <c r="F12" s="116"/>
      <c r="G12" s="117"/>
      <c r="H12" s="116"/>
      <c r="I12" s="116"/>
      <c r="J12" s="140"/>
      <c r="L12" s="83" t="s">
        <v>1051</v>
      </c>
      <c r="N12" s="120">
        <v>623</v>
      </c>
      <c r="O12" s="120">
        <v>2756</v>
      </c>
      <c r="P12" s="120">
        <v>533</v>
      </c>
      <c r="Q12" s="120">
        <v>624140</v>
      </c>
      <c r="R12" s="120">
        <v>2479576</v>
      </c>
      <c r="S12" s="120">
        <v>422143</v>
      </c>
    </row>
    <row r="13" spans="2:19" ht="13.5">
      <c r="B13" s="139"/>
      <c r="C13" s="53" t="s">
        <v>1614</v>
      </c>
      <c r="D13" s="53"/>
      <c r="E13" s="119"/>
      <c r="F13" s="116"/>
      <c r="G13" s="117"/>
      <c r="H13" s="116"/>
      <c r="I13" s="116"/>
      <c r="J13" s="140"/>
      <c r="L13" s="83" t="s">
        <v>1052</v>
      </c>
      <c r="N13" s="120">
        <v>623</v>
      </c>
      <c r="O13" s="120">
        <v>2756</v>
      </c>
      <c r="P13" s="120">
        <v>533</v>
      </c>
      <c r="Q13" s="120">
        <v>573864</v>
      </c>
      <c r="R13" s="120">
        <v>1844256</v>
      </c>
      <c r="S13" s="120">
        <v>307218</v>
      </c>
    </row>
    <row r="14" spans="2:19" ht="13.5">
      <c r="B14" s="139"/>
      <c r="C14" s="53"/>
      <c r="D14" s="53"/>
      <c r="E14" s="119"/>
      <c r="F14" s="116"/>
      <c r="G14" s="117"/>
      <c r="H14" s="116"/>
      <c r="I14" s="116"/>
      <c r="J14" s="140"/>
      <c r="L14" s="83" t="s">
        <v>1050</v>
      </c>
      <c r="N14" s="120">
        <v>525</v>
      </c>
      <c r="O14" s="120">
        <v>1080</v>
      </c>
      <c r="P14" s="120">
        <v>236</v>
      </c>
      <c r="Q14" s="121">
        <v>237749</v>
      </c>
      <c r="R14" s="121">
        <v>402145</v>
      </c>
      <c r="S14" s="121">
        <v>64623</v>
      </c>
    </row>
    <row r="15" spans="2:19" ht="13.5">
      <c r="B15" s="139"/>
      <c r="C15" s="53"/>
      <c r="D15" s="53"/>
      <c r="E15" s="119"/>
      <c r="F15" s="116"/>
      <c r="G15" s="117"/>
      <c r="H15" s="116"/>
      <c r="I15" s="116"/>
      <c r="J15" s="140"/>
      <c r="L15" s="83" t="s">
        <v>1049</v>
      </c>
      <c r="N15" s="120">
        <v>511</v>
      </c>
      <c r="O15" s="120">
        <v>956</v>
      </c>
      <c r="P15" s="120">
        <v>275</v>
      </c>
      <c r="Q15" s="121">
        <v>217952</v>
      </c>
      <c r="R15" s="121">
        <v>366254</v>
      </c>
      <c r="S15" s="121">
        <v>60940</v>
      </c>
    </row>
    <row r="16" spans="2:19" ht="15">
      <c r="B16" s="139"/>
      <c r="C16" s="122" t="s">
        <v>1036</v>
      </c>
      <c r="D16" s="141" t="str">
        <f ca="1">OFFSET(L9,MATCH(C17,M9:M20,0)-1,0)</f>
        <v>None</v>
      </c>
      <c r="E16" s="142"/>
      <c r="F16" s="116"/>
      <c r="G16" s="117"/>
      <c r="H16" s="116"/>
      <c r="I16" s="116"/>
      <c r="J16" s="140"/>
      <c r="L16" s="83" t="s">
        <v>314</v>
      </c>
      <c r="N16" s="120">
        <v>342</v>
      </c>
      <c r="O16" s="120">
        <v>758</v>
      </c>
      <c r="P16" s="120">
        <v>131</v>
      </c>
      <c r="Q16" s="121">
        <v>289231</v>
      </c>
      <c r="R16" s="121">
        <v>645754</v>
      </c>
      <c r="S16" s="121">
        <v>91604</v>
      </c>
    </row>
    <row r="17" spans="2:19" ht="13.5">
      <c r="B17" s="139"/>
      <c r="C17" s="124">
        <v>1</v>
      </c>
      <c r="D17" s="116"/>
      <c r="E17" s="116"/>
      <c r="F17" s="116"/>
      <c r="G17" s="117"/>
      <c r="H17" s="116"/>
      <c r="I17" s="116"/>
      <c r="J17" s="140"/>
      <c r="L17" s="83" t="s">
        <v>313</v>
      </c>
      <c r="N17" s="120">
        <v>142</v>
      </c>
      <c r="O17" s="120">
        <v>318</v>
      </c>
      <c r="P17" s="120">
        <v>41</v>
      </c>
      <c r="Q17" s="121">
        <v>205328</v>
      </c>
      <c r="R17" s="121">
        <v>317816</v>
      </c>
      <c r="S17" s="121">
        <v>50094</v>
      </c>
    </row>
    <row r="18" spans="2:19" ht="13.5">
      <c r="B18" s="139"/>
      <c r="C18" s="148"/>
      <c r="D18" s="149" t="s">
        <v>71</v>
      </c>
      <c r="E18" s="150" t="s">
        <v>46</v>
      </c>
      <c r="F18" s="150" t="s">
        <v>47</v>
      </c>
      <c r="G18" s="143" t="s">
        <v>71</v>
      </c>
      <c r="H18" s="123" t="s">
        <v>46</v>
      </c>
      <c r="I18" s="124"/>
      <c r="J18" s="140"/>
      <c r="L18" s="83" t="s">
        <v>1053</v>
      </c>
      <c r="N18" s="120">
        <v>215</v>
      </c>
      <c r="O18" s="120">
        <v>339</v>
      </c>
      <c r="P18" s="120">
        <v>67</v>
      </c>
      <c r="Q18" s="121">
        <v>302348</v>
      </c>
      <c r="R18" s="121">
        <v>552635</v>
      </c>
      <c r="S18" s="121">
        <v>103904</v>
      </c>
    </row>
    <row r="19" spans="2:19" ht="13.5">
      <c r="B19" s="139"/>
      <c r="C19" s="53" t="s">
        <v>1354</v>
      </c>
      <c r="D19" s="125">
        <f>VLOOKUP($C$17,$M$9:$S$20,2,FALSE)</f>
        <v>623</v>
      </c>
      <c r="E19" s="125">
        <f>VLOOKUP($C$17,$M$9:$S$20,3,FALSE)</f>
        <v>2756</v>
      </c>
      <c r="F19" s="125">
        <f>VLOOKUP($C$17,$M$9:$S$20,4,FALSE)</f>
        <v>533</v>
      </c>
      <c r="G19" s="126">
        <f>F19/D19*100</f>
        <v>85.553772070626</v>
      </c>
      <c r="H19" s="126">
        <f>F19/E19*100</f>
        <v>19.339622641509436</v>
      </c>
      <c r="I19" s="124"/>
      <c r="J19" s="140"/>
      <c r="L19" s="83" t="s">
        <v>315</v>
      </c>
      <c r="N19" s="120">
        <v>521</v>
      </c>
      <c r="O19" s="120">
        <v>890</v>
      </c>
      <c r="P19" s="120">
        <v>218</v>
      </c>
      <c r="Q19" s="121">
        <v>294096</v>
      </c>
      <c r="R19" s="121">
        <v>517806</v>
      </c>
      <c r="S19" s="121">
        <v>98422</v>
      </c>
    </row>
    <row r="20" spans="2:19" ht="13.5">
      <c r="B20" s="139"/>
      <c r="C20" s="53" t="s">
        <v>5</v>
      </c>
      <c r="D20" s="125">
        <f>VLOOKUP($C$17,$M$9:$S$20,5,FALSE)</f>
        <v>700161</v>
      </c>
      <c r="E20" s="125">
        <f>VLOOKUP($C$17,$M$9:$S$20,6,FALSE)</f>
        <v>2847015</v>
      </c>
      <c r="F20" s="125">
        <f>VLOOKUP($C$17,$M$9:$S$20,7,FALSE)</f>
        <v>492030</v>
      </c>
      <c r="G20" s="126">
        <f>F20/D20*100</f>
        <v>70.27383701748597</v>
      </c>
      <c r="H20" s="126">
        <f>F20/E20*100</f>
        <v>17.282311473596028</v>
      </c>
      <c r="I20" s="124"/>
      <c r="J20" s="140"/>
      <c r="L20" s="83" t="s">
        <v>1054</v>
      </c>
      <c r="N20" s="120">
        <v>8</v>
      </c>
      <c r="O20" s="120">
        <v>10</v>
      </c>
      <c r="P20" s="120">
        <v>0</v>
      </c>
      <c r="Q20" s="121">
        <v>38247</v>
      </c>
      <c r="R20" s="121">
        <v>62875</v>
      </c>
      <c r="S20" s="121">
        <v>11448</v>
      </c>
    </row>
    <row r="21" spans="2:10" ht="13.5">
      <c r="B21" s="139"/>
      <c r="C21" s="53"/>
      <c r="D21" s="53"/>
      <c r="E21" s="119"/>
      <c r="F21" s="116"/>
      <c r="G21" s="117"/>
      <c r="H21" s="116"/>
      <c r="I21" s="116"/>
      <c r="J21" s="140"/>
    </row>
    <row r="22" spans="2:10" ht="13.5">
      <c r="B22" s="139"/>
      <c r="C22" s="53"/>
      <c r="D22" s="53"/>
      <c r="E22" s="119"/>
      <c r="F22" s="116"/>
      <c r="G22" s="117"/>
      <c r="H22" s="116"/>
      <c r="I22" s="116"/>
      <c r="J22" s="140"/>
    </row>
    <row r="23" spans="2:10" ht="13.5">
      <c r="B23" s="139"/>
      <c r="C23" s="53"/>
      <c r="D23" s="53"/>
      <c r="E23" s="119"/>
      <c r="F23" s="116"/>
      <c r="G23" s="117"/>
      <c r="H23" s="116"/>
      <c r="I23" s="116"/>
      <c r="J23" s="140"/>
    </row>
    <row r="24" spans="2:10" ht="13.5">
      <c r="B24" s="139"/>
      <c r="C24" s="53"/>
      <c r="D24" s="53"/>
      <c r="E24" s="119"/>
      <c r="F24" s="116"/>
      <c r="G24" s="117"/>
      <c r="H24" s="116"/>
      <c r="I24" s="116"/>
      <c r="J24" s="140"/>
    </row>
    <row r="25" spans="2:10" ht="13.5">
      <c r="B25" s="139"/>
      <c r="C25" s="53"/>
      <c r="D25" s="53"/>
      <c r="E25" s="119"/>
      <c r="F25" s="116"/>
      <c r="G25" s="117"/>
      <c r="H25" s="116"/>
      <c r="I25" s="116"/>
      <c r="J25" s="140"/>
    </row>
    <row r="26" spans="2:10" ht="13.5">
      <c r="B26" s="139"/>
      <c r="C26" s="53"/>
      <c r="D26" s="53"/>
      <c r="E26" s="119"/>
      <c r="F26" s="116"/>
      <c r="G26" s="117"/>
      <c r="H26" s="116"/>
      <c r="I26" s="116"/>
      <c r="J26" s="140"/>
    </row>
    <row r="27" spans="2:10" ht="13.5">
      <c r="B27" s="139"/>
      <c r="C27" s="53"/>
      <c r="D27" s="53"/>
      <c r="E27" s="119"/>
      <c r="F27" s="116"/>
      <c r="G27" s="117"/>
      <c r="H27" s="116"/>
      <c r="I27" s="116"/>
      <c r="J27" s="140"/>
    </row>
    <row r="28" spans="2:10" ht="13.5">
      <c r="B28" s="139"/>
      <c r="C28" s="53"/>
      <c r="D28" s="53"/>
      <c r="E28" s="119"/>
      <c r="F28" s="116"/>
      <c r="G28" s="117"/>
      <c r="H28" s="116"/>
      <c r="I28" s="116"/>
      <c r="J28" s="140"/>
    </row>
    <row r="29" spans="2:10" ht="13.5">
      <c r="B29" s="139"/>
      <c r="C29" s="53"/>
      <c r="D29" s="53"/>
      <c r="E29" s="119"/>
      <c r="F29" s="116"/>
      <c r="G29" s="117"/>
      <c r="H29" s="116"/>
      <c r="I29" s="116"/>
      <c r="J29" s="140"/>
    </row>
    <row r="30" spans="2:10" ht="13.5">
      <c r="B30" s="139"/>
      <c r="C30" s="53"/>
      <c r="D30" s="53"/>
      <c r="E30" s="119"/>
      <c r="F30" s="116"/>
      <c r="G30" s="117"/>
      <c r="H30" s="116"/>
      <c r="I30" s="116"/>
      <c r="J30" s="140"/>
    </row>
    <row r="31" spans="2:10" ht="13.5">
      <c r="B31" s="139"/>
      <c r="C31" s="53"/>
      <c r="D31" s="53"/>
      <c r="E31" s="119"/>
      <c r="F31" s="116"/>
      <c r="G31" s="117"/>
      <c r="H31" s="116"/>
      <c r="I31" s="116"/>
      <c r="J31" s="140"/>
    </row>
    <row r="32" spans="2:10" ht="13.5">
      <c r="B32" s="139"/>
      <c r="C32" s="53"/>
      <c r="D32" s="53"/>
      <c r="E32" s="119"/>
      <c r="F32" s="116"/>
      <c r="G32" s="117"/>
      <c r="H32" s="116"/>
      <c r="I32" s="116"/>
      <c r="J32" s="140"/>
    </row>
    <row r="33" spans="2:10" ht="13.5">
      <c r="B33" s="139"/>
      <c r="C33" s="53"/>
      <c r="D33" s="53"/>
      <c r="E33" s="119"/>
      <c r="F33" s="116"/>
      <c r="G33" s="117"/>
      <c r="H33" s="116"/>
      <c r="I33" s="116"/>
      <c r="J33" s="140"/>
    </row>
    <row r="34" spans="2:10" ht="13.5">
      <c r="B34" s="139"/>
      <c r="C34" s="53"/>
      <c r="D34" s="53"/>
      <c r="E34" s="119"/>
      <c r="F34" s="116"/>
      <c r="G34" s="117"/>
      <c r="H34" s="116"/>
      <c r="I34" s="116"/>
      <c r="J34" s="140"/>
    </row>
    <row r="35" spans="2:10" ht="13.5">
      <c r="B35" s="139"/>
      <c r="C35" s="53"/>
      <c r="D35" s="53"/>
      <c r="E35" s="119"/>
      <c r="F35" s="116"/>
      <c r="G35" s="117"/>
      <c r="H35" s="116"/>
      <c r="I35" s="116"/>
      <c r="J35" s="140"/>
    </row>
    <row r="36" spans="2:10" ht="13.5">
      <c r="B36" s="139"/>
      <c r="C36" s="53"/>
      <c r="D36" s="53"/>
      <c r="E36" s="119"/>
      <c r="F36" s="116"/>
      <c r="G36" s="117"/>
      <c r="H36" s="116"/>
      <c r="I36" s="116"/>
      <c r="J36" s="140"/>
    </row>
    <row r="37" spans="2:10" ht="13.5">
      <c r="B37" s="139"/>
      <c r="C37" s="76" t="s">
        <v>279</v>
      </c>
      <c r="D37" s="16"/>
      <c r="E37" s="119"/>
      <c r="F37" s="116"/>
      <c r="G37" s="117"/>
      <c r="H37" s="116"/>
      <c r="I37" s="116"/>
      <c r="J37" s="140"/>
    </row>
    <row r="38" spans="2:10" ht="13.5">
      <c r="B38" s="139"/>
      <c r="C38" s="151" t="s">
        <v>1610</v>
      </c>
      <c r="D38" s="152"/>
      <c r="E38" s="153" t="s">
        <v>46</v>
      </c>
      <c r="F38" s="153" t="s">
        <v>47</v>
      </c>
      <c r="G38" s="154" t="s">
        <v>163</v>
      </c>
      <c r="H38" s="155" t="s">
        <v>1354</v>
      </c>
      <c r="I38" s="156" t="s">
        <v>7</v>
      </c>
      <c r="J38" s="140"/>
    </row>
    <row r="39" spans="2:22" ht="13.5" hidden="1">
      <c r="B39" s="139"/>
      <c r="C39" s="127" t="s">
        <v>6</v>
      </c>
      <c r="D39" s="128" t="s">
        <v>1040</v>
      </c>
      <c r="E39" s="129" t="s">
        <v>46</v>
      </c>
      <c r="F39" s="129" t="s">
        <v>47</v>
      </c>
      <c r="G39" s="130" t="s">
        <v>163</v>
      </c>
      <c r="H39" s="131" t="s">
        <v>1354</v>
      </c>
      <c r="I39" s="132" t="s">
        <v>7</v>
      </c>
      <c r="J39" s="140" t="s">
        <v>1040</v>
      </c>
      <c r="K39" s="83" t="s">
        <v>1041</v>
      </c>
      <c r="L39" s="83" t="s">
        <v>1042</v>
      </c>
      <c r="M39" s="120" t="s">
        <v>1043</v>
      </c>
      <c r="N39" s="83">
        <v>1994</v>
      </c>
      <c r="O39" s="83" t="s">
        <v>1044</v>
      </c>
      <c r="P39" s="120" t="s">
        <v>1045</v>
      </c>
      <c r="Q39" s="120" t="s">
        <v>1054</v>
      </c>
      <c r="R39" s="120" t="s">
        <v>1055</v>
      </c>
      <c r="S39" s="120" t="s">
        <v>1056</v>
      </c>
      <c r="V39" s="114"/>
    </row>
    <row r="40" spans="2:19" ht="13.5">
      <c r="B40" s="139"/>
      <c r="C40" s="157" t="s">
        <v>350</v>
      </c>
      <c r="D40" s="289"/>
      <c r="E40" s="290">
        <v>5</v>
      </c>
      <c r="F40" s="290">
        <v>1</v>
      </c>
      <c r="G40" s="158">
        <v>0.001876172607879925</v>
      </c>
      <c r="H40" s="158">
        <v>0.2</v>
      </c>
      <c r="I40" s="159">
        <v>0.15</v>
      </c>
      <c r="J40" s="140"/>
      <c r="K40" s="120">
        <v>73</v>
      </c>
      <c r="L40" s="83">
        <v>71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1</v>
      </c>
      <c r="S40" s="83">
        <v>1</v>
      </c>
    </row>
    <row r="41" spans="2:19" ht="13.5">
      <c r="B41" s="139"/>
      <c r="C41" s="160" t="s">
        <v>1100</v>
      </c>
      <c r="D41" s="10"/>
      <c r="E41" s="133">
        <v>0</v>
      </c>
      <c r="F41" s="133">
        <v>0</v>
      </c>
      <c r="G41" s="134">
        <v>0</v>
      </c>
      <c r="H41" s="134">
        <v>0</v>
      </c>
      <c r="I41" s="161">
        <v>0.19</v>
      </c>
      <c r="J41" s="140"/>
      <c r="K41" s="120">
        <v>136</v>
      </c>
      <c r="L41" s="83">
        <v>137</v>
      </c>
      <c r="M41" s="83">
        <v>0</v>
      </c>
      <c r="N41" s="83">
        <v>0</v>
      </c>
      <c r="O41" s="83">
        <v>1</v>
      </c>
      <c r="P41" s="83">
        <v>0</v>
      </c>
      <c r="Q41" s="83">
        <v>0</v>
      </c>
      <c r="R41" s="83">
        <v>0</v>
      </c>
      <c r="S41" s="83">
        <v>0</v>
      </c>
    </row>
    <row r="42" spans="2:19" ht="13.5">
      <c r="B42" s="139"/>
      <c r="C42" s="160" t="s">
        <v>351</v>
      </c>
      <c r="D42" s="10"/>
      <c r="E42" s="133">
        <v>2</v>
      </c>
      <c r="F42" s="133">
        <v>1</v>
      </c>
      <c r="G42" s="134">
        <v>0.001876172607879925</v>
      </c>
      <c r="H42" s="134">
        <v>0.5</v>
      </c>
      <c r="I42" s="161">
        <v>0.25</v>
      </c>
      <c r="J42" s="140"/>
      <c r="K42" s="120">
        <v>96</v>
      </c>
      <c r="L42" s="83">
        <v>78</v>
      </c>
      <c r="M42" s="83">
        <v>0</v>
      </c>
      <c r="N42" s="83">
        <v>0</v>
      </c>
      <c r="O42" s="83">
        <v>0</v>
      </c>
      <c r="P42" s="83">
        <v>1</v>
      </c>
      <c r="Q42" s="83">
        <v>0</v>
      </c>
      <c r="R42" s="83">
        <v>1</v>
      </c>
      <c r="S42" s="83">
        <v>1</v>
      </c>
    </row>
    <row r="43" spans="2:19" ht="13.5">
      <c r="B43" s="139"/>
      <c r="C43" s="160" t="s">
        <v>1101</v>
      </c>
      <c r="D43" s="10"/>
      <c r="E43" s="133">
        <v>0</v>
      </c>
      <c r="F43" s="133">
        <v>0</v>
      </c>
      <c r="G43" s="134">
        <v>0</v>
      </c>
      <c r="H43" s="134">
        <v>0</v>
      </c>
      <c r="I43" s="161">
        <v>0.34</v>
      </c>
      <c r="J43" s="140"/>
      <c r="K43" s="120">
        <v>137</v>
      </c>
      <c r="L43" s="83">
        <v>138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</row>
    <row r="44" spans="2:19" ht="13.5">
      <c r="B44" s="139"/>
      <c r="C44" s="160" t="s">
        <v>1102</v>
      </c>
      <c r="D44" s="10"/>
      <c r="E44" s="133">
        <v>0</v>
      </c>
      <c r="F44" s="133">
        <v>0</v>
      </c>
      <c r="G44" s="134">
        <v>0</v>
      </c>
      <c r="H44" s="134">
        <v>0</v>
      </c>
      <c r="I44" s="161">
        <v>0.39</v>
      </c>
      <c r="J44" s="140"/>
      <c r="K44" s="120">
        <v>138</v>
      </c>
      <c r="L44" s="83">
        <v>139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</row>
    <row r="45" spans="2:19" ht="13.5">
      <c r="B45" s="139"/>
      <c r="C45" s="160" t="s">
        <v>1103</v>
      </c>
      <c r="D45" s="10"/>
      <c r="E45" s="133">
        <v>0</v>
      </c>
      <c r="F45" s="133">
        <v>0</v>
      </c>
      <c r="G45" s="134">
        <v>0</v>
      </c>
      <c r="H45" s="134">
        <v>0</v>
      </c>
      <c r="I45" s="161">
        <v>0.18</v>
      </c>
      <c r="J45" s="140"/>
      <c r="K45" s="120">
        <v>139</v>
      </c>
      <c r="L45" s="83">
        <v>140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</row>
    <row r="46" spans="2:19" ht="13.5">
      <c r="B46" s="139"/>
      <c r="C46" s="160" t="s">
        <v>1104</v>
      </c>
      <c r="D46" s="10"/>
      <c r="E46" s="133">
        <v>0</v>
      </c>
      <c r="F46" s="133">
        <v>0</v>
      </c>
      <c r="G46" s="134">
        <v>0</v>
      </c>
      <c r="H46" s="134">
        <v>0</v>
      </c>
      <c r="I46" s="161">
        <v>0</v>
      </c>
      <c r="J46" s="140"/>
      <c r="K46" s="120">
        <v>140</v>
      </c>
      <c r="L46" s="83">
        <v>141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</row>
    <row r="47" spans="2:19" ht="13.5">
      <c r="B47" s="139"/>
      <c r="C47" s="160" t="s">
        <v>352</v>
      </c>
      <c r="D47" s="10"/>
      <c r="E47" s="133">
        <v>6</v>
      </c>
      <c r="F47" s="133">
        <v>3</v>
      </c>
      <c r="G47" s="134">
        <v>0.005628517823639775</v>
      </c>
      <c r="H47" s="134">
        <v>0.5</v>
      </c>
      <c r="I47" s="161">
        <v>0.24</v>
      </c>
      <c r="J47" s="140"/>
      <c r="K47" s="120">
        <v>69</v>
      </c>
      <c r="L47" s="83">
        <v>46</v>
      </c>
      <c r="M47" s="83">
        <v>0</v>
      </c>
      <c r="N47" s="83">
        <v>0</v>
      </c>
      <c r="O47" s="83">
        <v>1</v>
      </c>
      <c r="P47" s="83">
        <v>0</v>
      </c>
      <c r="Q47" s="83">
        <v>0</v>
      </c>
      <c r="R47" s="83">
        <v>1</v>
      </c>
      <c r="S47" s="83">
        <v>1</v>
      </c>
    </row>
    <row r="48" spans="2:19" ht="13.5">
      <c r="B48" s="139"/>
      <c r="C48" s="160" t="s">
        <v>1105</v>
      </c>
      <c r="D48" s="10"/>
      <c r="E48" s="133">
        <v>0</v>
      </c>
      <c r="F48" s="133">
        <v>0</v>
      </c>
      <c r="G48" s="134">
        <v>0</v>
      </c>
      <c r="H48" s="134">
        <v>0</v>
      </c>
      <c r="I48" s="161">
        <v>0.59</v>
      </c>
      <c r="J48" s="140"/>
      <c r="K48" s="120">
        <v>141</v>
      </c>
      <c r="L48" s="83">
        <v>142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</row>
    <row r="49" spans="2:19" ht="13.5">
      <c r="B49" s="139"/>
      <c r="C49" s="160" t="s">
        <v>1106</v>
      </c>
      <c r="D49" s="10"/>
      <c r="E49" s="133">
        <v>0</v>
      </c>
      <c r="F49" s="133">
        <v>0</v>
      </c>
      <c r="G49" s="134">
        <v>0</v>
      </c>
      <c r="H49" s="134">
        <v>0</v>
      </c>
      <c r="I49" s="161">
        <v>0.18</v>
      </c>
      <c r="J49" s="140"/>
      <c r="K49" s="120">
        <v>142</v>
      </c>
      <c r="L49" s="83">
        <v>143</v>
      </c>
      <c r="M49" s="83">
        <v>0</v>
      </c>
      <c r="N49" s="83">
        <v>0</v>
      </c>
      <c r="O49" s="83">
        <v>0</v>
      </c>
      <c r="P49" s="83">
        <v>0</v>
      </c>
      <c r="Q49" s="83">
        <v>1</v>
      </c>
      <c r="R49" s="83">
        <v>0</v>
      </c>
      <c r="S49" s="83">
        <v>0</v>
      </c>
    </row>
    <row r="50" spans="2:22" ht="13.5">
      <c r="B50" s="139"/>
      <c r="C50" s="160" t="s">
        <v>1107</v>
      </c>
      <c r="D50" s="10"/>
      <c r="E50" s="133">
        <v>0</v>
      </c>
      <c r="F50" s="133">
        <v>0</v>
      </c>
      <c r="G50" s="134">
        <v>0</v>
      </c>
      <c r="H50" s="134">
        <v>0</v>
      </c>
      <c r="I50" s="161">
        <v>0.31</v>
      </c>
      <c r="J50" s="140"/>
      <c r="K50" s="120">
        <v>143</v>
      </c>
      <c r="L50" s="83">
        <v>144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V50" s="114"/>
    </row>
    <row r="51" spans="2:22" ht="13.5">
      <c r="B51" s="139"/>
      <c r="C51" s="160" t="s">
        <v>353</v>
      </c>
      <c r="D51" s="10"/>
      <c r="E51" s="133">
        <v>13</v>
      </c>
      <c r="F51" s="133">
        <v>1</v>
      </c>
      <c r="G51" s="134">
        <v>0.001876172607879925</v>
      </c>
      <c r="H51" s="134">
        <v>0.07692307692307693</v>
      </c>
      <c r="I51" s="161">
        <v>0.2</v>
      </c>
      <c r="J51" s="140"/>
      <c r="K51" s="120">
        <v>49</v>
      </c>
      <c r="L51" s="83">
        <v>63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1</v>
      </c>
      <c r="S51" s="83">
        <v>1</v>
      </c>
      <c r="V51" s="114"/>
    </row>
    <row r="52" spans="2:22" ht="13.5">
      <c r="B52" s="139"/>
      <c r="C52" s="160" t="s">
        <v>1057</v>
      </c>
      <c r="D52" s="10"/>
      <c r="E52" s="133">
        <v>4</v>
      </c>
      <c r="F52" s="133">
        <v>1</v>
      </c>
      <c r="G52" s="134">
        <v>0.001876172607879925</v>
      </c>
      <c r="H52" s="134">
        <v>0.25</v>
      </c>
      <c r="I52" s="161">
        <v>0.23</v>
      </c>
      <c r="J52" s="140"/>
      <c r="K52" s="120">
        <v>80</v>
      </c>
      <c r="L52" s="83">
        <v>73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1</v>
      </c>
      <c r="S52" s="83">
        <v>1</v>
      </c>
      <c r="V52" s="114"/>
    </row>
    <row r="53" spans="2:22" ht="13.5">
      <c r="B53" s="139"/>
      <c r="C53" s="160" t="s">
        <v>1108</v>
      </c>
      <c r="D53" s="10"/>
      <c r="E53" s="133">
        <v>0</v>
      </c>
      <c r="F53" s="133">
        <v>0</v>
      </c>
      <c r="G53" s="134">
        <v>0</v>
      </c>
      <c r="H53" s="134">
        <v>0</v>
      </c>
      <c r="I53" s="161">
        <v>0</v>
      </c>
      <c r="J53" s="140"/>
      <c r="K53" s="120">
        <v>144</v>
      </c>
      <c r="L53" s="83">
        <v>145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V53" s="114"/>
    </row>
    <row r="54" spans="2:22" ht="13.5">
      <c r="B54" s="139"/>
      <c r="C54" s="160" t="s">
        <v>1109</v>
      </c>
      <c r="D54" s="10"/>
      <c r="E54" s="133">
        <v>0</v>
      </c>
      <c r="F54" s="133">
        <v>0</v>
      </c>
      <c r="G54" s="134">
        <v>0</v>
      </c>
      <c r="H54" s="134">
        <v>0</v>
      </c>
      <c r="I54" s="161">
        <v>0.47</v>
      </c>
      <c r="J54" s="140"/>
      <c r="K54" s="120">
        <v>145</v>
      </c>
      <c r="L54" s="83">
        <v>146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V54" s="114"/>
    </row>
    <row r="55" spans="2:22" ht="13.5">
      <c r="B55" s="139"/>
      <c r="C55" s="160" t="s">
        <v>1110</v>
      </c>
      <c r="D55" s="10"/>
      <c r="E55" s="133">
        <v>0</v>
      </c>
      <c r="F55" s="133">
        <v>0</v>
      </c>
      <c r="G55" s="134">
        <v>0</v>
      </c>
      <c r="H55" s="134">
        <v>0</v>
      </c>
      <c r="I55" s="161">
        <v>0.79</v>
      </c>
      <c r="J55" s="140"/>
      <c r="K55" s="120">
        <v>146</v>
      </c>
      <c r="L55" s="83">
        <v>147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V55" s="114"/>
    </row>
    <row r="56" spans="2:22" ht="13.5">
      <c r="B56" s="139"/>
      <c r="C56" s="160" t="s">
        <v>1058</v>
      </c>
      <c r="D56" s="10"/>
      <c r="E56" s="133">
        <v>18</v>
      </c>
      <c r="F56" s="133">
        <v>1</v>
      </c>
      <c r="G56" s="134">
        <v>0.001876172607879925</v>
      </c>
      <c r="H56" s="134">
        <v>0.05555555555555555</v>
      </c>
      <c r="I56" s="161">
        <v>0.15</v>
      </c>
      <c r="J56" s="140"/>
      <c r="K56" s="120">
        <v>40</v>
      </c>
      <c r="L56" s="83">
        <v>60</v>
      </c>
      <c r="M56" s="83">
        <v>0</v>
      </c>
      <c r="N56" s="83">
        <v>1</v>
      </c>
      <c r="O56" s="83">
        <v>0</v>
      </c>
      <c r="P56" s="83">
        <v>0</v>
      </c>
      <c r="Q56" s="83">
        <v>0</v>
      </c>
      <c r="R56" s="83">
        <v>1</v>
      </c>
      <c r="S56" s="83">
        <v>1</v>
      </c>
      <c r="V56" s="114"/>
    </row>
    <row r="57" spans="2:22" ht="13.5">
      <c r="B57" s="139"/>
      <c r="C57" s="160" t="s">
        <v>354</v>
      </c>
      <c r="D57" s="10"/>
      <c r="E57" s="133">
        <v>0</v>
      </c>
      <c r="F57" s="133">
        <v>0</v>
      </c>
      <c r="G57" s="134">
        <v>0</v>
      </c>
      <c r="H57" s="134">
        <v>0</v>
      </c>
      <c r="I57" s="161">
        <v>0.15</v>
      </c>
      <c r="J57" s="140"/>
      <c r="K57" s="120">
        <v>147</v>
      </c>
      <c r="L57" s="83">
        <v>148</v>
      </c>
      <c r="M57" s="83">
        <v>0</v>
      </c>
      <c r="N57" s="83">
        <v>0</v>
      </c>
      <c r="O57" s="83">
        <v>1</v>
      </c>
      <c r="P57" s="83">
        <v>0</v>
      </c>
      <c r="Q57" s="83">
        <v>0</v>
      </c>
      <c r="R57" s="83">
        <v>0</v>
      </c>
      <c r="S57" s="83">
        <v>0</v>
      </c>
      <c r="V57" s="114"/>
    </row>
    <row r="58" spans="2:22" ht="13.5">
      <c r="B58" s="139"/>
      <c r="C58" s="160" t="s">
        <v>1111</v>
      </c>
      <c r="D58" s="10"/>
      <c r="E58" s="133">
        <v>0</v>
      </c>
      <c r="F58" s="133">
        <v>0</v>
      </c>
      <c r="G58" s="134">
        <v>0</v>
      </c>
      <c r="H58" s="134">
        <v>0</v>
      </c>
      <c r="I58" s="161">
        <v>0.23</v>
      </c>
      <c r="J58" s="140"/>
      <c r="K58" s="120">
        <v>148</v>
      </c>
      <c r="L58" s="83">
        <v>149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V58" s="114"/>
    </row>
    <row r="59" spans="2:22" ht="13.5">
      <c r="B59" s="139"/>
      <c r="C59" s="160" t="s">
        <v>1112</v>
      </c>
      <c r="D59" s="10"/>
      <c r="E59" s="133">
        <v>6</v>
      </c>
      <c r="F59" s="133">
        <v>1</v>
      </c>
      <c r="G59" s="134">
        <v>0.001876172607879925</v>
      </c>
      <c r="H59" s="134">
        <v>0.16666666666666666</v>
      </c>
      <c r="I59" s="161">
        <v>0.21</v>
      </c>
      <c r="J59" s="140"/>
      <c r="K59" s="120">
        <v>70</v>
      </c>
      <c r="L59" s="83">
        <v>69</v>
      </c>
      <c r="M59" s="83">
        <v>0</v>
      </c>
      <c r="N59" s="83">
        <v>0</v>
      </c>
      <c r="O59" s="83">
        <v>1</v>
      </c>
      <c r="P59" s="83">
        <v>0</v>
      </c>
      <c r="Q59" s="83">
        <v>0</v>
      </c>
      <c r="R59" s="83">
        <v>1</v>
      </c>
      <c r="S59" s="83">
        <v>1</v>
      </c>
      <c r="V59" s="114"/>
    </row>
    <row r="60" spans="2:22" ht="13.5">
      <c r="B60" s="139"/>
      <c r="C60" s="160" t="s">
        <v>1113</v>
      </c>
      <c r="D60" s="10"/>
      <c r="E60" s="133">
        <v>0</v>
      </c>
      <c r="F60" s="133">
        <v>0</v>
      </c>
      <c r="G60" s="134">
        <v>0</v>
      </c>
      <c r="H60" s="134">
        <v>0</v>
      </c>
      <c r="I60" s="161">
        <v>0.56</v>
      </c>
      <c r="J60" s="140"/>
      <c r="K60" s="120">
        <v>149</v>
      </c>
      <c r="L60" s="83">
        <v>150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V60" s="114"/>
    </row>
    <row r="61" spans="2:22" ht="13.5">
      <c r="B61" s="139"/>
      <c r="C61" s="160" t="s">
        <v>1114</v>
      </c>
      <c r="D61" s="116"/>
      <c r="E61" s="133">
        <v>1</v>
      </c>
      <c r="F61" s="133">
        <v>0</v>
      </c>
      <c r="G61" s="134">
        <v>0</v>
      </c>
      <c r="H61" s="134">
        <v>0</v>
      </c>
      <c r="I61" s="161">
        <v>0.37</v>
      </c>
      <c r="J61" s="140"/>
      <c r="K61" s="120">
        <v>111</v>
      </c>
      <c r="L61" s="83">
        <v>116</v>
      </c>
      <c r="M61" s="83">
        <v>0</v>
      </c>
      <c r="N61" s="83">
        <v>1</v>
      </c>
      <c r="O61" s="83">
        <v>0</v>
      </c>
      <c r="P61" s="83">
        <v>0</v>
      </c>
      <c r="Q61" s="83">
        <v>0</v>
      </c>
      <c r="R61" s="83">
        <v>1</v>
      </c>
      <c r="S61" s="83">
        <v>0</v>
      </c>
      <c r="V61" s="114"/>
    </row>
    <row r="62" spans="2:22" ht="13.5">
      <c r="B62" s="139"/>
      <c r="C62" s="160" t="s">
        <v>1115</v>
      </c>
      <c r="D62" s="116"/>
      <c r="E62" s="133">
        <v>65</v>
      </c>
      <c r="F62" s="133">
        <v>15</v>
      </c>
      <c r="G62" s="134">
        <v>0.028142589118198873</v>
      </c>
      <c r="H62" s="134">
        <v>0.23076923076923078</v>
      </c>
      <c r="I62" s="161">
        <v>0.18</v>
      </c>
      <c r="J62" s="140"/>
      <c r="K62" s="120">
        <v>12</v>
      </c>
      <c r="L62" s="83">
        <v>11</v>
      </c>
      <c r="M62" s="83">
        <v>0</v>
      </c>
      <c r="N62" s="83">
        <v>0</v>
      </c>
      <c r="O62" s="83">
        <v>1</v>
      </c>
      <c r="P62" s="83">
        <v>0</v>
      </c>
      <c r="Q62" s="83">
        <v>0</v>
      </c>
      <c r="R62" s="83">
        <v>1</v>
      </c>
      <c r="S62" s="83">
        <v>1</v>
      </c>
      <c r="V62" s="114"/>
    </row>
    <row r="63" spans="2:22" ht="13.5">
      <c r="B63" s="139"/>
      <c r="C63" s="160" t="s">
        <v>1116</v>
      </c>
      <c r="D63" s="116"/>
      <c r="E63" s="133">
        <v>0</v>
      </c>
      <c r="F63" s="133">
        <v>0</v>
      </c>
      <c r="G63" s="134">
        <v>0</v>
      </c>
      <c r="H63" s="134">
        <v>0</v>
      </c>
      <c r="I63" s="161">
        <v>0.43</v>
      </c>
      <c r="J63" s="140"/>
      <c r="K63" s="120">
        <v>150</v>
      </c>
      <c r="L63" s="83">
        <v>151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V63" s="114"/>
    </row>
    <row r="64" spans="2:22" ht="13.5">
      <c r="B64" s="139"/>
      <c r="C64" s="160" t="s">
        <v>355</v>
      </c>
      <c r="D64" s="10"/>
      <c r="E64" s="133">
        <v>45</v>
      </c>
      <c r="F64" s="133">
        <v>4</v>
      </c>
      <c r="G64" s="134">
        <v>0.0075046904315197</v>
      </c>
      <c r="H64" s="134">
        <v>0.08888888888888889</v>
      </c>
      <c r="I64" s="161">
        <v>0.13</v>
      </c>
      <c r="J64" s="140"/>
      <c r="K64" s="120">
        <v>22</v>
      </c>
      <c r="L64" s="83">
        <v>34</v>
      </c>
      <c r="M64" s="83">
        <v>1</v>
      </c>
      <c r="N64" s="83">
        <v>0</v>
      </c>
      <c r="O64" s="83">
        <v>0</v>
      </c>
      <c r="P64" s="83">
        <v>0</v>
      </c>
      <c r="Q64" s="83">
        <v>0</v>
      </c>
      <c r="R64" s="83">
        <v>1</v>
      </c>
      <c r="S64" s="83">
        <v>1</v>
      </c>
      <c r="V64" s="114"/>
    </row>
    <row r="65" spans="2:22" ht="13.5">
      <c r="B65" s="139"/>
      <c r="C65" s="160" t="s">
        <v>1117</v>
      </c>
      <c r="D65" s="10"/>
      <c r="E65" s="133">
        <v>1</v>
      </c>
      <c r="F65" s="133">
        <v>0</v>
      </c>
      <c r="G65" s="134">
        <v>0</v>
      </c>
      <c r="H65" s="134">
        <v>0</v>
      </c>
      <c r="I65" s="161">
        <v>0.37</v>
      </c>
      <c r="J65" s="140"/>
      <c r="K65" s="120">
        <v>112</v>
      </c>
      <c r="L65" s="83">
        <v>117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1</v>
      </c>
      <c r="S65" s="83">
        <v>0</v>
      </c>
      <c r="V65" s="114"/>
    </row>
    <row r="66" spans="2:22" ht="13.5">
      <c r="B66" s="139"/>
      <c r="C66" s="160" t="s">
        <v>1118</v>
      </c>
      <c r="D66" s="10"/>
      <c r="E66" s="133">
        <v>2</v>
      </c>
      <c r="F66" s="133">
        <v>0</v>
      </c>
      <c r="G66" s="134">
        <v>0</v>
      </c>
      <c r="H66" s="134">
        <v>0</v>
      </c>
      <c r="I66" s="161">
        <v>0.33</v>
      </c>
      <c r="J66" s="140"/>
      <c r="K66" s="120">
        <v>97</v>
      </c>
      <c r="L66" s="83">
        <v>104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1</v>
      </c>
      <c r="S66" s="83">
        <v>0</v>
      </c>
      <c r="V66" s="114"/>
    </row>
    <row r="67" spans="2:22" ht="13.5">
      <c r="B67" s="139"/>
      <c r="C67" s="160" t="s">
        <v>1119</v>
      </c>
      <c r="D67" s="10"/>
      <c r="E67" s="133">
        <v>0</v>
      </c>
      <c r="F67" s="133">
        <v>0</v>
      </c>
      <c r="G67" s="134">
        <v>0</v>
      </c>
      <c r="H67" s="134">
        <v>0</v>
      </c>
      <c r="I67" s="161">
        <v>0.29</v>
      </c>
      <c r="J67" s="140"/>
      <c r="K67" s="120">
        <v>151</v>
      </c>
      <c r="L67" s="83">
        <v>152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V67" s="114"/>
    </row>
    <row r="68" spans="2:22" ht="13.5">
      <c r="B68" s="139"/>
      <c r="C68" s="160" t="s">
        <v>1120</v>
      </c>
      <c r="D68" s="116"/>
      <c r="E68" s="133">
        <v>0</v>
      </c>
      <c r="F68" s="133">
        <v>0</v>
      </c>
      <c r="G68" s="134">
        <v>0</v>
      </c>
      <c r="H68" s="134">
        <v>0</v>
      </c>
      <c r="I68" s="161">
        <v>0.68</v>
      </c>
      <c r="J68" s="140"/>
      <c r="K68" s="120">
        <v>152</v>
      </c>
      <c r="L68" s="83">
        <v>153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V68" s="114"/>
    </row>
    <row r="69" spans="2:22" ht="13.5">
      <c r="B69" s="139"/>
      <c r="C69" s="160" t="s">
        <v>1121</v>
      </c>
      <c r="D69" s="116"/>
      <c r="E69" s="133">
        <v>44</v>
      </c>
      <c r="F69" s="133">
        <v>10</v>
      </c>
      <c r="G69" s="134">
        <v>0.01876172607879925</v>
      </c>
      <c r="H69" s="134">
        <v>0.22727272727272727</v>
      </c>
      <c r="I69" s="161">
        <v>0.52</v>
      </c>
      <c r="J69" s="140"/>
      <c r="K69" s="120">
        <v>23</v>
      </c>
      <c r="L69" s="83">
        <v>14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1</v>
      </c>
      <c r="S69" s="83">
        <v>1</v>
      </c>
      <c r="V69" s="114"/>
    </row>
    <row r="70" spans="2:22" ht="13.5">
      <c r="B70" s="139"/>
      <c r="C70" s="160" t="s">
        <v>1122</v>
      </c>
      <c r="D70" s="116"/>
      <c r="E70" s="133">
        <v>56</v>
      </c>
      <c r="F70" s="133">
        <v>1</v>
      </c>
      <c r="G70" s="134">
        <v>0.001876172607879925</v>
      </c>
      <c r="H70" s="134">
        <v>0.017857142857142856</v>
      </c>
      <c r="I70" s="161">
        <v>0.22</v>
      </c>
      <c r="J70" s="140"/>
      <c r="K70" s="120">
        <v>17</v>
      </c>
      <c r="L70" s="83">
        <v>56</v>
      </c>
      <c r="M70" s="83">
        <v>0</v>
      </c>
      <c r="N70" s="83">
        <v>0</v>
      </c>
      <c r="O70" s="83">
        <v>1</v>
      </c>
      <c r="P70" s="83">
        <v>0</v>
      </c>
      <c r="Q70" s="83">
        <v>0</v>
      </c>
      <c r="R70" s="83">
        <v>1</v>
      </c>
      <c r="S70" s="83">
        <v>1</v>
      </c>
      <c r="V70" s="114"/>
    </row>
    <row r="71" spans="2:22" ht="13.5">
      <c r="B71" s="139"/>
      <c r="C71" s="160" t="s">
        <v>356</v>
      </c>
      <c r="D71" s="10"/>
      <c r="E71" s="133">
        <v>2</v>
      </c>
      <c r="F71" s="133">
        <v>0</v>
      </c>
      <c r="G71" s="134">
        <v>0</v>
      </c>
      <c r="H71" s="134">
        <v>0</v>
      </c>
      <c r="I71" s="161">
        <v>0.18</v>
      </c>
      <c r="J71" s="140"/>
      <c r="K71" s="120">
        <v>98</v>
      </c>
      <c r="L71" s="83">
        <v>105</v>
      </c>
      <c r="M71" s="83">
        <v>0</v>
      </c>
      <c r="N71" s="83">
        <v>0</v>
      </c>
      <c r="O71" s="83">
        <v>0</v>
      </c>
      <c r="P71" s="83">
        <v>1</v>
      </c>
      <c r="Q71" s="83">
        <v>0</v>
      </c>
      <c r="R71" s="83">
        <v>1</v>
      </c>
      <c r="S71" s="83">
        <v>0</v>
      </c>
      <c r="V71" s="114"/>
    </row>
    <row r="72" spans="2:22" ht="13.5">
      <c r="B72" s="139"/>
      <c r="C72" s="160" t="s">
        <v>1123</v>
      </c>
      <c r="D72" s="10"/>
      <c r="E72" s="133">
        <v>4</v>
      </c>
      <c r="F72" s="133">
        <v>4</v>
      </c>
      <c r="G72" s="134">
        <v>0.0075046904315197</v>
      </c>
      <c r="H72" s="134">
        <v>1</v>
      </c>
      <c r="I72" s="161">
        <v>0.65</v>
      </c>
      <c r="J72" s="140"/>
      <c r="K72" s="120">
        <v>81</v>
      </c>
      <c r="L72" s="83">
        <v>38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1</v>
      </c>
      <c r="S72" s="83">
        <v>1</v>
      </c>
      <c r="V72" s="114"/>
    </row>
    <row r="73" spans="2:22" ht="13.5">
      <c r="B73" s="139"/>
      <c r="C73" s="160" t="s">
        <v>357</v>
      </c>
      <c r="D73" s="10"/>
      <c r="E73" s="133">
        <v>31</v>
      </c>
      <c r="F73" s="133">
        <v>21</v>
      </c>
      <c r="G73" s="134">
        <v>0.039399624765478425</v>
      </c>
      <c r="H73" s="134">
        <v>0.6774193548387096</v>
      </c>
      <c r="I73" s="161">
        <v>0.18</v>
      </c>
      <c r="J73" s="140"/>
      <c r="K73" s="120">
        <v>26</v>
      </c>
      <c r="L73" s="83">
        <v>6</v>
      </c>
      <c r="M73" s="83">
        <v>0</v>
      </c>
      <c r="N73" s="83">
        <v>0</v>
      </c>
      <c r="O73" s="83">
        <v>0</v>
      </c>
      <c r="P73" s="83">
        <v>1</v>
      </c>
      <c r="Q73" s="83">
        <v>0</v>
      </c>
      <c r="R73" s="83">
        <v>1</v>
      </c>
      <c r="S73" s="83">
        <v>1</v>
      </c>
      <c r="V73" s="114"/>
    </row>
    <row r="74" spans="2:22" ht="13.5">
      <c r="B74" s="139"/>
      <c r="C74" s="160" t="s">
        <v>1124</v>
      </c>
      <c r="D74" s="10"/>
      <c r="E74" s="133">
        <v>18</v>
      </c>
      <c r="F74" s="133">
        <v>1</v>
      </c>
      <c r="G74" s="134">
        <v>0.001876172607879925</v>
      </c>
      <c r="H74" s="134">
        <v>0.05555555555555555</v>
      </c>
      <c r="I74" s="161">
        <v>0.31</v>
      </c>
      <c r="J74" s="140"/>
      <c r="K74" s="120">
        <v>41</v>
      </c>
      <c r="L74" s="83">
        <v>61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</v>
      </c>
      <c r="S74" s="83">
        <v>1</v>
      </c>
      <c r="V74" s="114"/>
    </row>
    <row r="75" spans="2:22" ht="13.5">
      <c r="B75" s="139"/>
      <c r="C75" s="160" t="s">
        <v>1125</v>
      </c>
      <c r="D75" s="116"/>
      <c r="E75" s="133">
        <v>0</v>
      </c>
      <c r="F75" s="133">
        <v>0</v>
      </c>
      <c r="G75" s="134">
        <v>0</v>
      </c>
      <c r="H75" s="134">
        <v>0</v>
      </c>
      <c r="I75" s="161">
        <v>0.56</v>
      </c>
      <c r="J75" s="140"/>
      <c r="K75" s="120">
        <v>153</v>
      </c>
      <c r="L75" s="83">
        <v>154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V75" s="114"/>
    </row>
    <row r="76" spans="2:22" ht="13.5">
      <c r="B76" s="139"/>
      <c r="C76" s="160" t="s">
        <v>358</v>
      </c>
      <c r="D76" s="116"/>
      <c r="E76" s="133">
        <v>30</v>
      </c>
      <c r="F76" s="133">
        <v>1</v>
      </c>
      <c r="G76" s="134">
        <v>0.001876172607879925</v>
      </c>
      <c r="H76" s="134">
        <v>0.03333333333333333</v>
      </c>
      <c r="I76" s="161">
        <v>0.17</v>
      </c>
      <c r="J76" s="140"/>
      <c r="K76" s="120">
        <v>27</v>
      </c>
      <c r="L76" s="83">
        <v>58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1</v>
      </c>
      <c r="S76" s="83">
        <v>1</v>
      </c>
      <c r="V76" s="114"/>
    </row>
    <row r="77" spans="2:22" ht="13.5">
      <c r="B77" s="139"/>
      <c r="C77" s="160" t="s">
        <v>1126</v>
      </c>
      <c r="D77" s="116"/>
      <c r="E77" s="133">
        <v>0</v>
      </c>
      <c r="F77" s="133">
        <v>0</v>
      </c>
      <c r="G77" s="134">
        <v>0</v>
      </c>
      <c r="H77" s="134">
        <v>0</v>
      </c>
      <c r="I77" s="161">
        <v>0</v>
      </c>
      <c r="J77" s="140"/>
      <c r="K77" s="120">
        <v>154</v>
      </c>
      <c r="L77" s="83">
        <v>155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V77" s="114"/>
    </row>
    <row r="78" spans="2:22" ht="13.5">
      <c r="B78" s="139"/>
      <c r="C78" s="160" t="s">
        <v>1059</v>
      </c>
      <c r="D78" s="10"/>
      <c r="E78" s="133">
        <v>0</v>
      </c>
      <c r="F78" s="133">
        <v>0</v>
      </c>
      <c r="G78" s="134">
        <v>0</v>
      </c>
      <c r="H78" s="134">
        <v>0</v>
      </c>
      <c r="I78" s="161">
        <v>0.06</v>
      </c>
      <c r="J78" s="140"/>
      <c r="K78" s="120">
        <v>155</v>
      </c>
      <c r="L78" s="83">
        <v>156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V78" s="114"/>
    </row>
    <row r="79" spans="2:22" ht="13.5">
      <c r="B79" s="139"/>
      <c r="C79" s="160" t="s">
        <v>1127</v>
      </c>
      <c r="D79" s="10"/>
      <c r="E79" s="133">
        <v>0</v>
      </c>
      <c r="F79" s="133">
        <v>0</v>
      </c>
      <c r="G79" s="134">
        <v>0</v>
      </c>
      <c r="H79" s="134">
        <v>0</v>
      </c>
      <c r="I79" s="161">
        <v>0.48</v>
      </c>
      <c r="J79" s="140"/>
      <c r="K79" s="120">
        <v>156</v>
      </c>
      <c r="L79" s="83">
        <v>157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V79" s="114"/>
    </row>
    <row r="80" spans="2:22" ht="13.5">
      <c r="B80" s="139"/>
      <c r="C80" s="160" t="s">
        <v>359</v>
      </c>
      <c r="D80" s="10"/>
      <c r="E80" s="133">
        <v>25</v>
      </c>
      <c r="F80" s="133">
        <v>4</v>
      </c>
      <c r="G80" s="134">
        <v>0.0075046904315197</v>
      </c>
      <c r="H80" s="134">
        <v>0.16</v>
      </c>
      <c r="I80" s="161">
        <v>0.13</v>
      </c>
      <c r="J80" s="140"/>
      <c r="K80" s="120">
        <v>32</v>
      </c>
      <c r="L80" s="83">
        <v>36</v>
      </c>
      <c r="M80" s="83">
        <v>1</v>
      </c>
      <c r="N80" s="83">
        <v>0</v>
      </c>
      <c r="O80" s="83">
        <v>0</v>
      </c>
      <c r="P80" s="83">
        <v>0</v>
      </c>
      <c r="Q80" s="83">
        <v>0</v>
      </c>
      <c r="R80" s="83">
        <v>1</v>
      </c>
      <c r="S80" s="83">
        <v>1</v>
      </c>
      <c r="V80" s="114"/>
    </row>
    <row r="81" spans="2:22" ht="13.5">
      <c r="B81" s="139"/>
      <c r="C81" s="160" t="s">
        <v>1128</v>
      </c>
      <c r="D81" s="10"/>
      <c r="E81" s="133">
        <v>0</v>
      </c>
      <c r="F81" s="133">
        <v>0</v>
      </c>
      <c r="G81" s="134">
        <v>0</v>
      </c>
      <c r="H81" s="134">
        <v>0</v>
      </c>
      <c r="I81" s="161">
        <v>0.34</v>
      </c>
      <c r="J81" s="140"/>
      <c r="K81" s="120">
        <v>157</v>
      </c>
      <c r="L81" s="83">
        <v>158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V81" s="114"/>
    </row>
    <row r="82" spans="2:22" ht="13.5">
      <c r="B82" s="139"/>
      <c r="C82" s="160" t="s">
        <v>360</v>
      </c>
      <c r="D82" s="116"/>
      <c r="E82" s="133">
        <v>1</v>
      </c>
      <c r="F82" s="133">
        <v>0</v>
      </c>
      <c r="G82" s="134">
        <v>0</v>
      </c>
      <c r="H82" s="134">
        <v>0</v>
      </c>
      <c r="I82" s="161">
        <v>0.22</v>
      </c>
      <c r="J82" s="140"/>
      <c r="K82" s="120">
        <v>113</v>
      </c>
      <c r="L82" s="83">
        <v>118</v>
      </c>
      <c r="M82" s="83">
        <v>0</v>
      </c>
      <c r="N82" s="83">
        <v>0</v>
      </c>
      <c r="O82" s="83">
        <v>0</v>
      </c>
      <c r="P82" s="83">
        <v>1</v>
      </c>
      <c r="Q82" s="83">
        <v>0</v>
      </c>
      <c r="R82" s="83">
        <v>1</v>
      </c>
      <c r="S82" s="83">
        <v>0</v>
      </c>
      <c r="V82" s="114"/>
    </row>
    <row r="83" spans="2:22" ht="13.5">
      <c r="B83" s="139"/>
      <c r="C83" s="160" t="s">
        <v>1129</v>
      </c>
      <c r="D83" s="116"/>
      <c r="E83" s="133">
        <v>0</v>
      </c>
      <c r="F83" s="133">
        <v>0</v>
      </c>
      <c r="G83" s="134">
        <v>0</v>
      </c>
      <c r="H83" s="134">
        <v>0</v>
      </c>
      <c r="I83" s="161">
        <v>0.33</v>
      </c>
      <c r="J83" s="140"/>
      <c r="K83" s="120">
        <v>158</v>
      </c>
      <c r="L83" s="83">
        <v>159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V83" s="114"/>
    </row>
    <row r="84" spans="2:22" ht="13.5">
      <c r="B84" s="139"/>
      <c r="C84" s="160" t="s">
        <v>1130</v>
      </c>
      <c r="D84" s="116"/>
      <c r="E84" s="133">
        <v>0</v>
      </c>
      <c r="F84" s="133">
        <v>0</v>
      </c>
      <c r="G84" s="134">
        <v>0</v>
      </c>
      <c r="H84" s="134">
        <v>0</v>
      </c>
      <c r="I84" s="161">
        <v>0.44</v>
      </c>
      <c r="J84" s="140"/>
      <c r="K84" s="120">
        <v>159</v>
      </c>
      <c r="L84" s="83">
        <v>160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V84" s="114"/>
    </row>
    <row r="85" spans="2:22" ht="13.5">
      <c r="B85" s="139"/>
      <c r="C85" s="160" t="s">
        <v>361</v>
      </c>
      <c r="D85" s="10"/>
      <c r="E85" s="133">
        <v>3</v>
      </c>
      <c r="F85" s="133">
        <v>1</v>
      </c>
      <c r="G85" s="134">
        <v>0.001876172607879925</v>
      </c>
      <c r="H85" s="134">
        <v>0.3333333333333333</v>
      </c>
      <c r="I85" s="161">
        <v>0.13</v>
      </c>
      <c r="J85" s="140"/>
      <c r="K85" s="120">
        <v>87</v>
      </c>
      <c r="L85" s="83">
        <v>74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1</v>
      </c>
      <c r="S85" s="83">
        <v>1</v>
      </c>
      <c r="V85" s="114"/>
    </row>
    <row r="86" spans="2:22" ht="13.5">
      <c r="B86" s="139"/>
      <c r="C86" s="160" t="s">
        <v>1060</v>
      </c>
      <c r="D86" s="10"/>
      <c r="E86" s="133">
        <v>0</v>
      </c>
      <c r="F86" s="133">
        <v>0</v>
      </c>
      <c r="G86" s="134">
        <v>0</v>
      </c>
      <c r="H86" s="134">
        <v>0</v>
      </c>
      <c r="I86" s="161">
        <v>0.39</v>
      </c>
      <c r="J86" s="140"/>
      <c r="K86" s="120">
        <v>160</v>
      </c>
      <c r="L86" s="83">
        <v>161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V86" s="114"/>
    </row>
    <row r="87" spans="2:22" ht="13.5">
      <c r="B87" s="139"/>
      <c r="C87" s="160" t="s">
        <v>1131</v>
      </c>
      <c r="D87" s="10"/>
      <c r="E87" s="133">
        <v>3</v>
      </c>
      <c r="F87" s="133">
        <v>0</v>
      </c>
      <c r="G87" s="134">
        <v>0</v>
      </c>
      <c r="H87" s="134">
        <v>0</v>
      </c>
      <c r="I87" s="161">
        <v>0.08</v>
      </c>
      <c r="J87" s="140"/>
      <c r="K87" s="120">
        <v>88</v>
      </c>
      <c r="L87" s="83">
        <v>99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1</v>
      </c>
      <c r="S87" s="83">
        <v>0</v>
      </c>
      <c r="V87" s="114"/>
    </row>
    <row r="88" spans="2:22" ht="13.5">
      <c r="B88" s="139"/>
      <c r="C88" s="160" t="s">
        <v>1132</v>
      </c>
      <c r="D88" s="10"/>
      <c r="E88" s="133">
        <v>0</v>
      </c>
      <c r="F88" s="133">
        <v>0</v>
      </c>
      <c r="G88" s="134">
        <v>0</v>
      </c>
      <c r="H88" s="134">
        <v>0</v>
      </c>
      <c r="I88" s="161">
        <v>0.54</v>
      </c>
      <c r="J88" s="140"/>
      <c r="K88" s="120">
        <v>161</v>
      </c>
      <c r="L88" s="83">
        <v>162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V88" s="114"/>
    </row>
    <row r="89" spans="2:22" ht="13.5">
      <c r="B89" s="139"/>
      <c r="C89" s="160" t="s">
        <v>1133</v>
      </c>
      <c r="D89" s="116"/>
      <c r="E89" s="133">
        <v>1</v>
      </c>
      <c r="F89" s="133">
        <v>0</v>
      </c>
      <c r="G89" s="134">
        <v>0</v>
      </c>
      <c r="H89" s="134">
        <v>0</v>
      </c>
      <c r="I89" s="161">
        <v>0.24</v>
      </c>
      <c r="J89" s="140"/>
      <c r="K89" s="120">
        <v>114</v>
      </c>
      <c r="L89" s="83">
        <v>119</v>
      </c>
      <c r="M89" s="83">
        <v>0</v>
      </c>
      <c r="N89" s="83">
        <v>0</v>
      </c>
      <c r="O89" s="83">
        <v>1</v>
      </c>
      <c r="P89" s="83">
        <v>0</v>
      </c>
      <c r="Q89" s="83">
        <v>0</v>
      </c>
      <c r="R89" s="83">
        <v>1</v>
      </c>
      <c r="S89" s="83">
        <v>0</v>
      </c>
      <c r="V89" s="114"/>
    </row>
    <row r="90" spans="2:22" ht="13.5">
      <c r="B90" s="139"/>
      <c r="C90" s="160" t="s">
        <v>362</v>
      </c>
      <c r="D90" s="116"/>
      <c r="E90" s="133">
        <v>20</v>
      </c>
      <c r="F90" s="133">
        <v>0</v>
      </c>
      <c r="G90" s="134">
        <v>0</v>
      </c>
      <c r="H90" s="134">
        <v>0</v>
      </c>
      <c r="I90" s="161">
        <v>0.22</v>
      </c>
      <c r="J90" s="140"/>
      <c r="K90" s="120">
        <v>36</v>
      </c>
      <c r="L90" s="83">
        <v>85</v>
      </c>
      <c r="M90" s="83">
        <v>1</v>
      </c>
      <c r="N90" s="83">
        <v>0</v>
      </c>
      <c r="O90" s="83">
        <v>0</v>
      </c>
      <c r="P90" s="83">
        <v>0</v>
      </c>
      <c r="Q90" s="83">
        <v>0</v>
      </c>
      <c r="R90" s="83">
        <v>1</v>
      </c>
      <c r="S90" s="83">
        <v>0</v>
      </c>
      <c r="V90" s="114"/>
    </row>
    <row r="91" spans="2:22" ht="13.5">
      <c r="B91" s="139"/>
      <c r="C91" s="160" t="s">
        <v>1134</v>
      </c>
      <c r="D91" s="116"/>
      <c r="E91" s="133">
        <v>0</v>
      </c>
      <c r="F91" s="133">
        <v>0</v>
      </c>
      <c r="G91" s="134">
        <v>0</v>
      </c>
      <c r="H91" s="134">
        <v>0</v>
      </c>
      <c r="I91" s="161">
        <v>0</v>
      </c>
      <c r="J91" s="140"/>
      <c r="K91" s="120">
        <v>162</v>
      </c>
      <c r="L91" s="83">
        <v>163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V91" s="114"/>
    </row>
    <row r="92" spans="2:22" ht="13.5">
      <c r="B92" s="139"/>
      <c r="C92" s="160" t="s">
        <v>363</v>
      </c>
      <c r="D92" s="10"/>
      <c r="E92" s="133">
        <v>1</v>
      </c>
      <c r="F92" s="133">
        <v>1</v>
      </c>
      <c r="G92" s="134">
        <v>0.001876172607879925</v>
      </c>
      <c r="H92" s="134">
        <v>1</v>
      </c>
      <c r="I92" s="161">
        <v>0.22</v>
      </c>
      <c r="J92" s="140"/>
      <c r="K92" s="120">
        <v>115</v>
      </c>
      <c r="L92" s="83">
        <v>81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1</v>
      </c>
      <c r="S92" s="83">
        <v>1</v>
      </c>
      <c r="V92" s="114"/>
    </row>
    <row r="93" spans="2:22" ht="13.5">
      <c r="B93" s="139"/>
      <c r="C93" s="160" t="s">
        <v>364</v>
      </c>
      <c r="D93" s="10"/>
      <c r="E93" s="133">
        <v>56</v>
      </c>
      <c r="F93" s="133">
        <v>1</v>
      </c>
      <c r="G93" s="134">
        <v>0.001876172607879925</v>
      </c>
      <c r="H93" s="134">
        <v>0.017857142857142856</v>
      </c>
      <c r="I93" s="161">
        <v>0.19</v>
      </c>
      <c r="J93" s="140"/>
      <c r="K93" s="120">
        <v>18</v>
      </c>
      <c r="L93" s="83">
        <v>57</v>
      </c>
      <c r="M93" s="83">
        <v>1</v>
      </c>
      <c r="N93" s="83">
        <v>0</v>
      </c>
      <c r="O93" s="83">
        <v>0</v>
      </c>
      <c r="P93" s="83">
        <v>0</v>
      </c>
      <c r="Q93" s="83">
        <v>0</v>
      </c>
      <c r="R93" s="83">
        <v>1</v>
      </c>
      <c r="S93" s="83">
        <v>1</v>
      </c>
      <c r="V93" s="114"/>
    </row>
    <row r="94" spans="2:22" ht="13.5">
      <c r="B94" s="139"/>
      <c r="C94" s="160" t="s">
        <v>1135</v>
      </c>
      <c r="D94" s="10"/>
      <c r="E94" s="133">
        <v>2</v>
      </c>
      <c r="F94" s="133">
        <v>1</v>
      </c>
      <c r="G94" s="134">
        <v>0.001876172607879925</v>
      </c>
      <c r="H94" s="134">
        <v>0.5</v>
      </c>
      <c r="I94" s="161">
        <v>0.3</v>
      </c>
      <c r="J94" s="140"/>
      <c r="K94" s="120">
        <v>99</v>
      </c>
      <c r="L94" s="83">
        <v>79</v>
      </c>
      <c r="M94" s="83">
        <v>0</v>
      </c>
      <c r="N94" s="83">
        <v>0</v>
      </c>
      <c r="O94" s="83">
        <v>0</v>
      </c>
      <c r="P94" s="83">
        <v>1</v>
      </c>
      <c r="Q94" s="83">
        <v>0</v>
      </c>
      <c r="R94" s="83">
        <v>1</v>
      </c>
      <c r="S94" s="83">
        <v>1</v>
      </c>
      <c r="V94" s="114"/>
    </row>
    <row r="95" spans="2:22" ht="13.5">
      <c r="B95" s="139"/>
      <c r="C95" s="160" t="s">
        <v>1136</v>
      </c>
      <c r="D95" s="10"/>
      <c r="E95" s="133">
        <v>0</v>
      </c>
      <c r="F95" s="133">
        <v>0</v>
      </c>
      <c r="G95" s="134">
        <v>0</v>
      </c>
      <c r="H95" s="134">
        <v>0</v>
      </c>
      <c r="I95" s="161">
        <v>0.36</v>
      </c>
      <c r="J95" s="140"/>
      <c r="K95" s="120">
        <v>163</v>
      </c>
      <c r="L95" s="83">
        <v>164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V95" s="114"/>
    </row>
    <row r="96" spans="2:22" ht="13.5">
      <c r="B96" s="139"/>
      <c r="C96" s="160" t="s">
        <v>1137</v>
      </c>
      <c r="D96" s="116"/>
      <c r="E96" s="133">
        <v>0</v>
      </c>
      <c r="F96" s="133">
        <v>0</v>
      </c>
      <c r="G96" s="134">
        <v>0</v>
      </c>
      <c r="H96" s="134">
        <v>0</v>
      </c>
      <c r="I96" s="161">
        <v>0</v>
      </c>
      <c r="J96" s="140"/>
      <c r="K96" s="120">
        <v>164</v>
      </c>
      <c r="L96" s="83">
        <v>165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V96" s="114"/>
    </row>
    <row r="97" spans="2:22" ht="13.5">
      <c r="B97" s="139"/>
      <c r="C97" s="160" t="s">
        <v>1138</v>
      </c>
      <c r="D97" s="116"/>
      <c r="E97" s="133">
        <v>29</v>
      </c>
      <c r="F97" s="133">
        <v>6</v>
      </c>
      <c r="G97" s="134">
        <v>0.01125703564727955</v>
      </c>
      <c r="H97" s="134">
        <v>0.20689655172413793</v>
      </c>
      <c r="I97" s="161">
        <v>0.2</v>
      </c>
      <c r="J97" s="140"/>
      <c r="K97" s="120">
        <v>28</v>
      </c>
      <c r="L97" s="83">
        <v>24</v>
      </c>
      <c r="M97" s="83">
        <v>0</v>
      </c>
      <c r="N97" s="83">
        <v>0</v>
      </c>
      <c r="O97" s="83">
        <v>1</v>
      </c>
      <c r="P97" s="83">
        <v>0</v>
      </c>
      <c r="Q97" s="83">
        <v>0</v>
      </c>
      <c r="R97" s="83">
        <v>1</v>
      </c>
      <c r="S97" s="83">
        <v>1</v>
      </c>
      <c r="V97" s="114"/>
    </row>
    <row r="98" spans="2:22" ht="13.5">
      <c r="B98" s="139"/>
      <c r="C98" s="160" t="s">
        <v>1061</v>
      </c>
      <c r="D98" s="116"/>
      <c r="E98" s="133">
        <v>1</v>
      </c>
      <c r="F98" s="133">
        <v>0</v>
      </c>
      <c r="G98" s="134">
        <v>0</v>
      </c>
      <c r="H98" s="134">
        <v>0</v>
      </c>
      <c r="I98" s="161">
        <v>0.04</v>
      </c>
      <c r="J98" s="140"/>
      <c r="K98" s="120">
        <v>116</v>
      </c>
      <c r="L98" s="83">
        <v>120</v>
      </c>
      <c r="M98" s="83">
        <v>0</v>
      </c>
      <c r="N98" s="83">
        <v>0</v>
      </c>
      <c r="O98" s="83">
        <v>0</v>
      </c>
      <c r="P98" s="83">
        <v>0</v>
      </c>
      <c r="Q98" s="83">
        <v>1</v>
      </c>
      <c r="R98" s="83">
        <v>1</v>
      </c>
      <c r="S98" s="83">
        <v>0</v>
      </c>
      <c r="V98" s="114"/>
    </row>
    <row r="99" spans="2:22" ht="13.5">
      <c r="B99" s="139"/>
      <c r="C99" s="160" t="s">
        <v>1062</v>
      </c>
      <c r="D99" s="10"/>
      <c r="E99" s="133">
        <v>15</v>
      </c>
      <c r="F99" s="133">
        <v>2</v>
      </c>
      <c r="G99" s="134">
        <v>0.00375234521575985</v>
      </c>
      <c r="H99" s="134">
        <v>0.13333333333333333</v>
      </c>
      <c r="I99" s="161">
        <v>0.14</v>
      </c>
      <c r="J99" s="140"/>
      <c r="K99" s="120">
        <v>46</v>
      </c>
      <c r="L99" s="83">
        <v>49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1</v>
      </c>
      <c r="S99" s="83">
        <v>1</v>
      </c>
      <c r="V99" s="114"/>
    </row>
    <row r="100" spans="2:22" ht="13.5">
      <c r="B100" s="139"/>
      <c r="C100" s="160" t="s">
        <v>1139</v>
      </c>
      <c r="D100" s="10"/>
      <c r="E100" s="133">
        <v>0</v>
      </c>
      <c r="F100" s="133">
        <v>0</v>
      </c>
      <c r="G100" s="134">
        <v>0</v>
      </c>
      <c r="H100" s="134">
        <v>0</v>
      </c>
      <c r="I100" s="161">
        <v>0.53</v>
      </c>
      <c r="J100" s="140"/>
      <c r="K100" s="120">
        <v>165</v>
      </c>
      <c r="L100" s="83">
        <v>166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V100" s="114"/>
    </row>
    <row r="101" spans="2:22" ht="13.5">
      <c r="B101" s="139"/>
      <c r="C101" s="160" t="s">
        <v>365</v>
      </c>
      <c r="D101" s="10"/>
      <c r="E101" s="133">
        <v>1</v>
      </c>
      <c r="F101" s="133">
        <v>0</v>
      </c>
      <c r="G101" s="134">
        <v>0</v>
      </c>
      <c r="H101" s="134">
        <v>0</v>
      </c>
      <c r="I101" s="161">
        <v>0.23</v>
      </c>
      <c r="J101" s="140"/>
      <c r="K101" s="120">
        <v>117</v>
      </c>
      <c r="L101" s="83">
        <v>121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1</v>
      </c>
      <c r="S101" s="83">
        <v>0</v>
      </c>
      <c r="V101" s="114"/>
    </row>
    <row r="102" spans="2:22" ht="13.5">
      <c r="B102" s="139"/>
      <c r="C102" s="160" t="s">
        <v>1140</v>
      </c>
      <c r="D102" s="10"/>
      <c r="E102" s="133">
        <v>1</v>
      </c>
      <c r="F102" s="133">
        <v>0</v>
      </c>
      <c r="G102" s="134">
        <v>0</v>
      </c>
      <c r="H102" s="134">
        <v>0</v>
      </c>
      <c r="I102" s="161">
        <v>0.13</v>
      </c>
      <c r="J102" s="140"/>
      <c r="K102" s="120">
        <v>118</v>
      </c>
      <c r="L102" s="83">
        <v>122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1</v>
      </c>
      <c r="S102" s="83">
        <v>0</v>
      </c>
      <c r="V102" s="114"/>
    </row>
    <row r="103" spans="2:22" ht="13.5">
      <c r="B103" s="139"/>
      <c r="C103" s="160" t="s">
        <v>1141</v>
      </c>
      <c r="D103" s="116"/>
      <c r="E103" s="133">
        <v>0</v>
      </c>
      <c r="F103" s="133">
        <v>0</v>
      </c>
      <c r="G103" s="134">
        <v>0</v>
      </c>
      <c r="H103" s="134">
        <v>0</v>
      </c>
      <c r="I103" s="161">
        <v>0.07</v>
      </c>
      <c r="J103" s="140"/>
      <c r="K103" s="120">
        <v>166</v>
      </c>
      <c r="L103" s="83">
        <v>167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V103" s="114"/>
    </row>
    <row r="104" spans="2:22" ht="13.5">
      <c r="B104" s="139"/>
      <c r="C104" s="160" t="s">
        <v>1142</v>
      </c>
      <c r="D104" s="116"/>
      <c r="E104" s="133">
        <v>0</v>
      </c>
      <c r="F104" s="133">
        <v>0</v>
      </c>
      <c r="G104" s="134">
        <v>0</v>
      </c>
      <c r="H104" s="134">
        <v>0</v>
      </c>
      <c r="I104" s="161">
        <v>0.43</v>
      </c>
      <c r="J104" s="140"/>
      <c r="K104" s="120">
        <v>167</v>
      </c>
      <c r="L104" s="83">
        <v>168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V104" s="114"/>
    </row>
    <row r="105" spans="2:22" ht="13.5">
      <c r="B105" s="139"/>
      <c r="C105" s="160" t="s">
        <v>1143</v>
      </c>
      <c r="D105" s="116"/>
      <c r="E105" s="133">
        <v>0</v>
      </c>
      <c r="F105" s="133">
        <v>0</v>
      </c>
      <c r="G105" s="134">
        <v>0</v>
      </c>
      <c r="H105" s="134">
        <v>0</v>
      </c>
      <c r="I105" s="161">
        <v>1.38</v>
      </c>
      <c r="J105" s="140"/>
      <c r="K105" s="120">
        <v>168</v>
      </c>
      <c r="L105" s="83">
        <v>169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V105" s="114"/>
    </row>
    <row r="106" spans="2:22" ht="13.5">
      <c r="B106" s="139"/>
      <c r="C106" s="160" t="s">
        <v>1144</v>
      </c>
      <c r="D106" s="10"/>
      <c r="E106" s="133">
        <v>0</v>
      </c>
      <c r="F106" s="133">
        <v>0</v>
      </c>
      <c r="G106" s="134">
        <v>0</v>
      </c>
      <c r="H106" s="134">
        <v>0</v>
      </c>
      <c r="I106" s="161">
        <v>0.9</v>
      </c>
      <c r="J106" s="140"/>
      <c r="K106" s="120">
        <v>169</v>
      </c>
      <c r="L106" s="83">
        <v>170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V106" s="114"/>
    </row>
    <row r="107" spans="2:22" ht="13.5">
      <c r="B107" s="139"/>
      <c r="C107" s="160" t="s">
        <v>1145</v>
      </c>
      <c r="D107" s="10"/>
      <c r="E107" s="133">
        <v>0</v>
      </c>
      <c r="F107" s="133">
        <v>0</v>
      </c>
      <c r="G107" s="134">
        <v>0</v>
      </c>
      <c r="H107" s="134">
        <v>0</v>
      </c>
      <c r="I107" s="161">
        <v>0.44</v>
      </c>
      <c r="J107" s="140"/>
      <c r="K107" s="120">
        <v>170</v>
      </c>
      <c r="L107" s="83">
        <v>171</v>
      </c>
      <c r="M107" s="83">
        <v>0</v>
      </c>
      <c r="N107" s="83">
        <v>0</v>
      </c>
      <c r="O107" s="83">
        <v>0</v>
      </c>
      <c r="P107" s="83">
        <v>0</v>
      </c>
      <c r="Q107" s="83">
        <v>1</v>
      </c>
      <c r="R107" s="83">
        <v>0</v>
      </c>
      <c r="S107" s="83">
        <v>0</v>
      </c>
      <c r="V107" s="114"/>
    </row>
    <row r="108" spans="2:22" ht="13.5">
      <c r="B108" s="139"/>
      <c r="C108" s="160" t="s">
        <v>1146</v>
      </c>
      <c r="D108" s="10"/>
      <c r="E108" s="133">
        <v>0</v>
      </c>
      <c r="F108" s="133">
        <v>0</v>
      </c>
      <c r="G108" s="134">
        <v>0</v>
      </c>
      <c r="H108" s="134">
        <v>0</v>
      </c>
      <c r="I108" s="161">
        <v>0.43</v>
      </c>
      <c r="J108" s="140"/>
      <c r="K108" s="120">
        <v>171</v>
      </c>
      <c r="L108" s="83">
        <v>172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V108" s="114"/>
    </row>
    <row r="109" spans="2:22" ht="13.5">
      <c r="B109" s="139"/>
      <c r="C109" s="160" t="s">
        <v>1147</v>
      </c>
      <c r="D109" s="10"/>
      <c r="E109" s="133">
        <v>0</v>
      </c>
      <c r="F109" s="133">
        <v>0</v>
      </c>
      <c r="G109" s="134">
        <v>0</v>
      </c>
      <c r="H109" s="134">
        <v>0</v>
      </c>
      <c r="I109" s="161">
        <v>0.31</v>
      </c>
      <c r="J109" s="140"/>
      <c r="K109" s="120">
        <v>172</v>
      </c>
      <c r="L109" s="83">
        <v>173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V109" s="114"/>
    </row>
    <row r="110" spans="2:22" ht="13.5">
      <c r="B110" s="139"/>
      <c r="C110" s="160" t="s">
        <v>1148</v>
      </c>
      <c r="D110" s="116"/>
      <c r="E110" s="133">
        <v>0</v>
      </c>
      <c r="F110" s="133">
        <v>0</v>
      </c>
      <c r="G110" s="134">
        <v>0</v>
      </c>
      <c r="H110" s="134">
        <v>0</v>
      </c>
      <c r="I110" s="161">
        <v>0.64</v>
      </c>
      <c r="J110" s="140"/>
      <c r="K110" s="120">
        <v>173</v>
      </c>
      <c r="L110" s="83">
        <v>174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V110" s="114"/>
    </row>
    <row r="111" spans="2:22" ht="13.5">
      <c r="B111" s="139"/>
      <c r="C111" s="160" t="s">
        <v>1149</v>
      </c>
      <c r="D111" s="116"/>
      <c r="E111" s="133">
        <v>1</v>
      </c>
      <c r="F111" s="133">
        <v>0</v>
      </c>
      <c r="G111" s="134">
        <v>0</v>
      </c>
      <c r="H111" s="134">
        <v>0</v>
      </c>
      <c r="I111" s="161">
        <v>0.15</v>
      </c>
      <c r="J111" s="140"/>
      <c r="K111" s="120">
        <v>119</v>
      </c>
      <c r="L111" s="83">
        <v>123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1</v>
      </c>
      <c r="S111" s="83">
        <v>0</v>
      </c>
      <c r="V111" s="114"/>
    </row>
    <row r="112" spans="2:22" ht="13.5">
      <c r="B112" s="139"/>
      <c r="C112" s="160" t="s">
        <v>1150</v>
      </c>
      <c r="D112" s="116"/>
      <c r="E112" s="133">
        <v>26</v>
      </c>
      <c r="F112" s="133">
        <v>2</v>
      </c>
      <c r="G112" s="134">
        <v>0.00375234521575985</v>
      </c>
      <c r="H112" s="134">
        <v>0.07692307692307693</v>
      </c>
      <c r="I112" s="161">
        <v>0.19</v>
      </c>
      <c r="J112" s="140"/>
      <c r="K112" s="120">
        <v>31</v>
      </c>
      <c r="L112" s="83">
        <v>48</v>
      </c>
      <c r="M112" s="83">
        <v>0</v>
      </c>
      <c r="N112" s="83">
        <v>0</v>
      </c>
      <c r="O112" s="83">
        <v>1</v>
      </c>
      <c r="P112" s="83">
        <v>0</v>
      </c>
      <c r="Q112" s="83">
        <v>0</v>
      </c>
      <c r="R112" s="83">
        <v>1</v>
      </c>
      <c r="S112" s="83">
        <v>1</v>
      </c>
      <c r="V112" s="114"/>
    </row>
    <row r="113" spans="2:22" ht="13.5">
      <c r="B113" s="139"/>
      <c r="C113" s="160" t="s">
        <v>1151</v>
      </c>
      <c r="D113" s="10"/>
      <c r="E113" s="133">
        <v>0</v>
      </c>
      <c r="F113" s="133">
        <v>0</v>
      </c>
      <c r="G113" s="134">
        <v>0</v>
      </c>
      <c r="H113" s="134">
        <v>0</v>
      </c>
      <c r="I113" s="161">
        <v>0.41</v>
      </c>
      <c r="J113" s="140"/>
      <c r="K113" s="120">
        <v>174</v>
      </c>
      <c r="L113" s="83">
        <v>175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V113" s="114"/>
    </row>
    <row r="114" spans="2:22" ht="13.5">
      <c r="B114" s="139"/>
      <c r="C114" s="160" t="s">
        <v>1152</v>
      </c>
      <c r="D114" s="10"/>
      <c r="E114" s="133">
        <v>0</v>
      </c>
      <c r="F114" s="133">
        <v>0</v>
      </c>
      <c r="G114" s="134">
        <v>0</v>
      </c>
      <c r="H114" s="134">
        <v>0</v>
      </c>
      <c r="I114" s="161">
        <v>0.58</v>
      </c>
      <c r="J114" s="140"/>
      <c r="K114" s="120">
        <v>175</v>
      </c>
      <c r="L114" s="83">
        <v>176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V114" s="114"/>
    </row>
    <row r="115" spans="2:22" ht="13.5">
      <c r="B115" s="139"/>
      <c r="C115" s="160" t="s">
        <v>366</v>
      </c>
      <c r="D115" s="10"/>
      <c r="E115" s="133">
        <v>1</v>
      </c>
      <c r="F115" s="133">
        <v>0</v>
      </c>
      <c r="G115" s="134">
        <v>0</v>
      </c>
      <c r="H115" s="134">
        <v>0</v>
      </c>
      <c r="I115" s="161">
        <v>0.25</v>
      </c>
      <c r="J115" s="140"/>
      <c r="K115" s="120">
        <v>120</v>
      </c>
      <c r="L115" s="83">
        <v>124</v>
      </c>
      <c r="M115" s="83">
        <v>0</v>
      </c>
      <c r="N115" s="83">
        <v>0</v>
      </c>
      <c r="O115" s="83">
        <v>0</v>
      </c>
      <c r="P115" s="83">
        <v>0</v>
      </c>
      <c r="Q115" s="83">
        <v>1</v>
      </c>
      <c r="R115" s="83">
        <v>1</v>
      </c>
      <c r="S115" s="83">
        <v>0</v>
      </c>
      <c r="V115" s="114"/>
    </row>
    <row r="116" spans="2:22" ht="13.5">
      <c r="B116" s="139"/>
      <c r="C116" s="160" t="s">
        <v>1153</v>
      </c>
      <c r="D116" s="10"/>
      <c r="E116" s="133">
        <v>19</v>
      </c>
      <c r="F116" s="133">
        <v>3</v>
      </c>
      <c r="G116" s="134">
        <v>0.005628517823639775</v>
      </c>
      <c r="H116" s="134">
        <v>0.15789473684210525</v>
      </c>
      <c r="I116" s="161">
        <v>0.25</v>
      </c>
      <c r="J116" s="140"/>
      <c r="K116" s="120">
        <v>39</v>
      </c>
      <c r="L116" s="83">
        <v>39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1</v>
      </c>
      <c r="S116" s="83">
        <v>1</v>
      </c>
      <c r="V116" s="114"/>
    </row>
    <row r="117" spans="2:22" ht="13.5">
      <c r="B117" s="139"/>
      <c r="C117" s="160" t="s">
        <v>1154</v>
      </c>
      <c r="D117" s="116"/>
      <c r="E117" s="133">
        <v>0</v>
      </c>
      <c r="F117" s="133">
        <v>0</v>
      </c>
      <c r="G117" s="134">
        <v>0</v>
      </c>
      <c r="H117" s="134">
        <v>0</v>
      </c>
      <c r="I117" s="161">
        <v>0.49</v>
      </c>
      <c r="J117" s="140"/>
      <c r="K117" s="120">
        <v>176</v>
      </c>
      <c r="L117" s="83">
        <v>177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V117" s="114"/>
    </row>
    <row r="118" spans="2:22" ht="13.5">
      <c r="B118" s="139"/>
      <c r="C118" s="160" t="s">
        <v>367</v>
      </c>
      <c r="D118" s="116"/>
      <c r="E118" s="133">
        <v>12</v>
      </c>
      <c r="F118" s="133">
        <v>1</v>
      </c>
      <c r="G118" s="134">
        <v>0.001876172607879925</v>
      </c>
      <c r="H118" s="134">
        <v>0.08333333333333333</v>
      </c>
      <c r="I118" s="161">
        <v>0.2</v>
      </c>
      <c r="J118" s="140"/>
      <c r="K118" s="120">
        <v>52</v>
      </c>
      <c r="L118" s="83">
        <v>64</v>
      </c>
      <c r="M118" s="83">
        <v>0</v>
      </c>
      <c r="N118" s="83">
        <v>0</v>
      </c>
      <c r="O118" s="83">
        <v>0</v>
      </c>
      <c r="P118" s="83">
        <v>1</v>
      </c>
      <c r="Q118" s="83">
        <v>0</v>
      </c>
      <c r="R118" s="83">
        <v>1</v>
      </c>
      <c r="S118" s="83">
        <v>1</v>
      </c>
      <c r="V118" s="114"/>
    </row>
    <row r="119" spans="2:22" ht="13.5">
      <c r="B119" s="139"/>
      <c r="C119" s="160" t="s">
        <v>1155</v>
      </c>
      <c r="D119" s="116"/>
      <c r="E119" s="133">
        <v>16</v>
      </c>
      <c r="F119" s="133">
        <v>5</v>
      </c>
      <c r="G119" s="134">
        <v>0.009380863039399626</v>
      </c>
      <c r="H119" s="134">
        <v>0.3125</v>
      </c>
      <c r="I119" s="161">
        <v>0.18</v>
      </c>
      <c r="J119" s="140"/>
      <c r="K119" s="120">
        <v>43</v>
      </c>
      <c r="L119" s="83">
        <v>31</v>
      </c>
      <c r="M119" s="83">
        <v>0</v>
      </c>
      <c r="N119" s="83">
        <v>0</v>
      </c>
      <c r="O119" s="83">
        <v>1</v>
      </c>
      <c r="P119" s="83">
        <v>0</v>
      </c>
      <c r="Q119" s="83">
        <v>0</v>
      </c>
      <c r="R119" s="83">
        <v>1</v>
      </c>
      <c r="S119" s="83">
        <v>1</v>
      </c>
      <c r="V119" s="114"/>
    </row>
    <row r="120" spans="2:22" ht="13.5">
      <c r="B120" s="139"/>
      <c r="C120" s="160" t="s">
        <v>1156</v>
      </c>
      <c r="D120" s="10"/>
      <c r="E120" s="133">
        <v>0</v>
      </c>
      <c r="F120" s="133">
        <v>0</v>
      </c>
      <c r="G120" s="134">
        <v>0</v>
      </c>
      <c r="H120" s="134">
        <v>0</v>
      </c>
      <c r="I120" s="161">
        <v>0.43</v>
      </c>
      <c r="J120" s="140"/>
      <c r="K120" s="120">
        <v>177</v>
      </c>
      <c r="L120" s="83">
        <v>178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V120" s="114"/>
    </row>
    <row r="121" spans="2:22" ht="13.5">
      <c r="B121" s="139"/>
      <c r="C121" s="160" t="s">
        <v>1157</v>
      </c>
      <c r="D121" s="10"/>
      <c r="E121" s="133">
        <v>0</v>
      </c>
      <c r="F121" s="133">
        <v>0</v>
      </c>
      <c r="G121" s="134">
        <v>0</v>
      </c>
      <c r="H121" s="134">
        <v>0</v>
      </c>
      <c r="I121" s="161">
        <v>0.45</v>
      </c>
      <c r="J121" s="140"/>
      <c r="K121" s="120">
        <v>178</v>
      </c>
      <c r="L121" s="83">
        <v>179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V121" s="114"/>
    </row>
    <row r="122" spans="2:22" ht="13.5">
      <c r="B122" s="139"/>
      <c r="C122" s="160" t="s">
        <v>1158</v>
      </c>
      <c r="D122" s="10"/>
      <c r="E122" s="133">
        <v>0</v>
      </c>
      <c r="F122" s="133">
        <v>0</v>
      </c>
      <c r="G122" s="134">
        <v>0</v>
      </c>
      <c r="H122" s="134">
        <v>0</v>
      </c>
      <c r="I122" s="161">
        <v>0.43</v>
      </c>
      <c r="J122" s="140"/>
      <c r="K122" s="120">
        <v>179</v>
      </c>
      <c r="L122" s="83">
        <v>180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V122" s="114"/>
    </row>
    <row r="123" spans="2:22" ht="13.5">
      <c r="B123" s="139"/>
      <c r="C123" s="160" t="s">
        <v>368</v>
      </c>
      <c r="D123" s="10"/>
      <c r="E123" s="133">
        <v>4</v>
      </c>
      <c r="F123" s="133">
        <v>0</v>
      </c>
      <c r="G123" s="134">
        <v>0</v>
      </c>
      <c r="H123" s="134">
        <v>0</v>
      </c>
      <c r="I123" s="161">
        <v>0.11</v>
      </c>
      <c r="J123" s="140"/>
      <c r="K123" s="120">
        <v>82</v>
      </c>
      <c r="L123" s="83">
        <v>95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1</v>
      </c>
      <c r="S123" s="83">
        <v>0</v>
      </c>
      <c r="V123" s="114"/>
    </row>
    <row r="124" spans="2:22" ht="13.5">
      <c r="B124" s="139"/>
      <c r="C124" s="160" t="s">
        <v>369</v>
      </c>
      <c r="D124" s="116"/>
      <c r="E124" s="133">
        <v>65</v>
      </c>
      <c r="F124" s="133">
        <v>7</v>
      </c>
      <c r="G124" s="134">
        <v>0.013133208255159476</v>
      </c>
      <c r="H124" s="134">
        <v>0.1076923076923077</v>
      </c>
      <c r="I124" s="161">
        <v>0.15</v>
      </c>
      <c r="J124" s="140"/>
      <c r="K124" s="120">
        <v>13</v>
      </c>
      <c r="L124" s="83">
        <v>18</v>
      </c>
      <c r="M124" s="83">
        <v>0</v>
      </c>
      <c r="N124" s="83">
        <v>1</v>
      </c>
      <c r="O124" s="83">
        <v>0</v>
      </c>
      <c r="P124" s="83">
        <v>0</v>
      </c>
      <c r="Q124" s="83">
        <v>0</v>
      </c>
      <c r="R124" s="83">
        <v>1</v>
      </c>
      <c r="S124" s="83">
        <v>1</v>
      </c>
      <c r="V124" s="114"/>
    </row>
    <row r="125" spans="2:22" ht="13.5">
      <c r="B125" s="139"/>
      <c r="C125" s="160" t="s">
        <v>1159</v>
      </c>
      <c r="D125" s="116"/>
      <c r="E125" s="133">
        <v>0</v>
      </c>
      <c r="F125" s="133">
        <v>0</v>
      </c>
      <c r="G125" s="134">
        <v>0</v>
      </c>
      <c r="H125" s="134">
        <v>0</v>
      </c>
      <c r="I125" s="161">
        <v>0.46</v>
      </c>
      <c r="J125" s="140"/>
      <c r="K125" s="120">
        <v>180</v>
      </c>
      <c r="L125" s="83">
        <v>181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V125" s="114"/>
    </row>
    <row r="126" spans="2:22" ht="13.5">
      <c r="B126" s="139"/>
      <c r="C126" s="160" t="s">
        <v>370</v>
      </c>
      <c r="D126" s="116"/>
      <c r="E126" s="133">
        <v>12</v>
      </c>
      <c r="F126" s="133">
        <v>0</v>
      </c>
      <c r="G126" s="134">
        <v>0</v>
      </c>
      <c r="H126" s="134">
        <v>0</v>
      </c>
      <c r="I126" s="161">
        <v>0.17</v>
      </c>
      <c r="J126" s="140"/>
      <c r="K126" s="120">
        <v>53</v>
      </c>
      <c r="L126" s="83">
        <v>86</v>
      </c>
      <c r="M126" s="83">
        <v>0</v>
      </c>
      <c r="N126" s="83">
        <v>1</v>
      </c>
      <c r="O126" s="83">
        <v>0</v>
      </c>
      <c r="P126" s="83">
        <v>0</v>
      </c>
      <c r="Q126" s="83">
        <v>0</v>
      </c>
      <c r="R126" s="83">
        <v>1</v>
      </c>
      <c r="S126" s="83">
        <v>0</v>
      </c>
      <c r="V126" s="114"/>
    </row>
    <row r="127" spans="2:22" ht="13.5">
      <c r="B127" s="139"/>
      <c r="C127" s="160" t="s">
        <v>1160</v>
      </c>
      <c r="D127" s="10"/>
      <c r="E127" s="133">
        <v>6</v>
      </c>
      <c r="F127" s="133">
        <v>1</v>
      </c>
      <c r="G127" s="134">
        <v>0.001876172607879925</v>
      </c>
      <c r="H127" s="134">
        <v>0.16666666666666666</v>
      </c>
      <c r="I127" s="161">
        <v>0.24</v>
      </c>
      <c r="J127" s="140"/>
      <c r="K127" s="120">
        <v>71</v>
      </c>
      <c r="L127" s="83">
        <v>70</v>
      </c>
      <c r="M127" s="83">
        <v>0</v>
      </c>
      <c r="N127" s="83">
        <v>0</v>
      </c>
      <c r="O127" s="83">
        <v>1</v>
      </c>
      <c r="P127" s="83">
        <v>0</v>
      </c>
      <c r="Q127" s="83">
        <v>0</v>
      </c>
      <c r="R127" s="83">
        <v>1</v>
      </c>
      <c r="S127" s="83">
        <v>1</v>
      </c>
      <c r="V127" s="114"/>
    </row>
    <row r="128" spans="2:22" ht="13.5">
      <c r="B128" s="139"/>
      <c r="C128" s="160" t="s">
        <v>1161</v>
      </c>
      <c r="D128" s="10"/>
      <c r="E128" s="133">
        <v>0</v>
      </c>
      <c r="F128" s="133">
        <v>0</v>
      </c>
      <c r="G128" s="134">
        <v>0</v>
      </c>
      <c r="H128" s="134">
        <v>0</v>
      </c>
      <c r="I128" s="161">
        <v>1.1</v>
      </c>
      <c r="J128" s="140"/>
      <c r="K128" s="120">
        <v>181</v>
      </c>
      <c r="L128" s="83">
        <v>182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V128" s="114"/>
    </row>
    <row r="129" spans="2:22" ht="13.5">
      <c r="B129" s="139"/>
      <c r="C129" s="160" t="s">
        <v>1162</v>
      </c>
      <c r="D129" s="10"/>
      <c r="E129" s="133">
        <v>0</v>
      </c>
      <c r="F129" s="133">
        <v>0</v>
      </c>
      <c r="G129" s="134">
        <v>0</v>
      </c>
      <c r="H129" s="134">
        <v>0</v>
      </c>
      <c r="I129" s="161">
        <v>0.47</v>
      </c>
      <c r="J129" s="140"/>
      <c r="K129" s="120">
        <v>182</v>
      </c>
      <c r="L129" s="83">
        <v>183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V129" s="114"/>
    </row>
    <row r="130" spans="2:22" ht="13.5">
      <c r="B130" s="139"/>
      <c r="C130" s="160" t="s">
        <v>1163</v>
      </c>
      <c r="D130" s="10"/>
      <c r="E130" s="133">
        <v>0</v>
      </c>
      <c r="F130" s="133">
        <v>0</v>
      </c>
      <c r="G130" s="134">
        <v>0</v>
      </c>
      <c r="H130" s="134">
        <v>0</v>
      </c>
      <c r="I130" s="161">
        <v>0.26</v>
      </c>
      <c r="J130" s="140"/>
      <c r="K130" s="120">
        <v>183</v>
      </c>
      <c r="L130" s="83">
        <v>184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V130" s="114"/>
    </row>
    <row r="131" spans="2:22" ht="13.5">
      <c r="B131" s="139"/>
      <c r="C131" s="160" t="s">
        <v>1164</v>
      </c>
      <c r="D131" s="116"/>
      <c r="E131" s="116">
        <v>0</v>
      </c>
      <c r="F131" s="116">
        <v>0</v>
      </c>
      <c r="G131" s="134">
        <v>0</v>
      </c>
      <c r="H131" s="134">
        <v>0</v>
      </c>
      <c r="I131" s="161">
        <v>2.43</v>
      </c>
      <c r="J131" s="140"/>
      <c r="K131" s="120">
        <v>184</v>
      </c>
      <c r="L131" s="83">
        <v>185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V131" s="114"/>
    </row>
    <row r="132" spans="2:22" ht="13.5">
      <c r="B132" s="139"/>
      <c r="C132" s="160" t="s">
        <v>1165</v>
      </c>
      <c r="D132" s="116"/>
      <c r="E132" s="116">
        <v>15</v>
      </c>
      <c r="F132" s="116">
        <v>2</v>
      </c>
      <c r="G132" s="134">
        <v>0.00375234521575985</v>
      </c>
      <c r="H132" s="134">
        <v>0.13333333333333333</v>
      </c>
      <c r="I132" s="161">
        <v>0.19</v>
      </c>
      <c r="J132" s="140"/>
      <c r="K132" s="120">
        <v>47</v>
      </c>
      <c r="L132" s="83">
        <v>50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83">
        <v>1</v>
      </c>
      <c r="S132" s="83">
        <v>1</v>
      </c>
      <c r="V132" s="114"/>
    </row>
    <row r="133" spans="2:22" ht="13.5">
      <c r="B133" s="139"/>
      <c r="C133" s="160" t="s">
        <v>371</v>
      </c>
      <c r="D133" s="116"/>
      <c r="E133" s="116">
        <v>28</v>
      </c>
      <c r="F133" s="116">
        <v>7</v>
      </c>
      <c r="G133" s="134">
        <v>0.013133208255159476</v>
      </c>
      <c r="H133" s="134">
        <v>0.25</v>
      </c>
      <c r="I133" s="161">
        <v>0.12</v>
      </c>
      <c r="J133" s="140"/>
      <c r="K133" s="120">
        <v>29</v>
      </c>
      <c r="L133" s="83">
        <v>21</v>
      </c>
      <c r="M133" s="83">
        <v>1</v>
      </c>
      <c r="N133" s="83">
        <v>0</v>
      </c>
      <c r="O133" s="83">
        <v>0</v>
      </c>
      <c r="P133" s="83">
        <v>0</v>
      </c>
      <c r="Q133" s="83">
        <v>0</v>
      </c>
      <c r="R133" s="83">
        <v>1</v>
      </c>
      <c r="S133" s="83">
        <v>1</v>
      </c>
      <c r="V133" s="114"/>
    </row>
    <row r="134" spans="2:22" ht="13.5">
      <c r="B134" s="139"/>
      <c r="C134" s="160" t="s">
        <v>372</v>
      </c>
      <c r="D134" s="116"/>
      <c r="E134" s="116">
        <v>3</v>
      </c>
      <c r="F134" s="116">
        <v>1</v>
      </c>
      <c r="G134" s="134">
        <v>0.001876172607879925</v>
      </c>
      <c r="H134" s="134">
        <v>0.3333333333333333</v>
      </c>
      <c r="I134" s="161">
        <v>0.16</v>
      </c>
      <c r="J134" s="140"/>
      <c r="K134" s="120">
        <v>89</v>
      </c>
      <c r="L134" s="83">
        <v>75</v>
      </c>
      <c r="M134" s="83">
        <v>0</v>
      </c>
      <c r="N134" s="83">
        <v>0</v>
      </c>
      <c r="O134" s="83">
        <v>1</v>
      </c>
      <c r="P134" s="83">
        <v>0</v>
      </c>
      <c r="Q134" s="83">
        <v>0</v>
      </c>
      <c r="R134" s="83">
        <v>1</v>
      </c>
      <c r="S134" s="83">
        <v>1</v>
      </c>
      <c r="V134" s="114"/>
    </row>
    <row r="135" spans="2:22" ht="13.5">
      <c r="B135" s="139"/>
      <c r="C135" s="160" t="s">
        <v>373</v>
      </c>
      <c r="D135" s="116"/>
      <c r="E135" s="116">
        <v>16</v>
      </c>
      <c r="F135" s="116">
        <v>3</v>
      </c>
      <c r="G135" s="134">
        <v>0.005628517823639775</v>
      </c>
      <c r="H135" s="134">
        <v>0.1875</v>
      </c>
      <c r="I135" s="161">
        <v>0.16</v>
      </c>
      <c r="J135" s="140"/>
      <c r="K135" s="120">
        <v>44</v>
      </c>
      <c r="L135" s="83">
        <v>40</v>
      </c>
      <c r="M135" s="83">
        <v>0</v>
      </c>
      <c r="N135" s="83">
        <v>1</v>
      </c>
      <c r="O135" s="83">
        <v>0</v>
      </c>
      <c r="P135" s="83">
        <v>0</v>
      </c>
      <c r="Q135" s="83">
        <v>0</v>
      </c>
      <c r="R135" s="83">
        <v>1</v>
      </c>
      <c r="S135" s="83">
        <v>1</v>
      </c>
      <c r="V135" s="114"/>
    </row>
    <row r="136" spans="2:22" ht="13.5">
      <c r="B136" s="139"/>
      <c r="C136" s="160" t="s">
        <v>1166</v>
      </c>
      <c r="D136" s="116"/>
      <c r="E136" s="116">
        <v>0</v>
      </c>
      <c r="F136" s="116">
        <v>0</v>
      </c>
      <c r="G136" s="134">
        <v>0</v>
      </c>
      <c r="H136" s="134">
        <v>0</v>
      </c>
      <c r="I136" s="161">
        <v>0.15</v>
      </c>
      <c r="J136" s="140"/>
      <c r="K136" s="120">
        <v>185</v>
      </c>
      <c r="L136" s="83">
        <v>186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V136" s="114"/>
    </row>
    <row r="137" spans="2:22" ht="13.5">
      <c r="B137" s="139"/>
      <c r="C137" s="160" t="s">
        <v>1167</v>
      </c>
      <c r="D137" s="116"/>
      <c r="E137" s="116">
        <v>0</v>
      </c>
      <c r="F137" s="116">
        <v>0</v>
      </c>
      <c r="G137" s="134">
        <v>0</v>
      </c>
      <c r="H137" s="134">
        <v>0</v>
      </c>
      <c r="I137" s="161">
        <v>0</v>
      </c>
      <c r="J137" s="140"/>
      <c r="K137" s="120">
        <v>186</v>
      </c>
      <c r="L137" s="83">
        <v>187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V137" s="114"/>
    </row>
    <row r="138" spans="2:22" ht="13.5">
      <c r="B138" s="139"/>
      <c r="C138" s="160" t="s">
        <v>1063</v>
      </c>
      <c r="D138" s="116"/>
      <c r="E138" s="116">
        <v>0</v>
      </c>
      <c r="F138" s="116">
        <v>0</v>
      </c>
      <c r="G138" s="134">
        <v>0</v>
      </c>
      <c r="H138" s="134">
        <v>0</v>
      </c>
      <c r="I138" s="161">
        <v>0.34</v>
      </c>
      <c r="J138" s="140"/>
      <c r="K138" s="120">
        <v>187</v>
      </c>
      <c r="L138" s="83">
        <v>188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V138" s="114"/>
    </row>
    <row r="139" spans="2:22" ht="13.5">
      <c r="B139" s="139"/>
      <c r="C139" s="160" t="s">
        <v>1168</v>
      </c>
      <c r="D139" s="116"/>
      <c r="E139" s="116">
        <v>0</v>
      </c>
      <c r="F139" s="116">
        <v>0</v>
      </c>
      <c r="G139" s="134">
        <v>0</v>
      </c>
      <c r="H139" s="134">
        <v>0</v>
      </c>
      <c r="I139" s="161">
        <v>0.17</v>
      </c>
      <c r="J139" s="140"/>
      <c r="K139" s="120">
        <v>188</v>
      </c>
      <c r="L139" s="83">
        <v>189</v>
      </c>
      <c r="M139" s="83">
        <v>0</v>
      </c>
      <c r="N139" s="83">
        <v>0</v>
      </c>
      <c r="O139" s="83">
        <v>0</v>
      </c>
      <c r="P139" s="83">
        <v>0</v>
      </c>
      <c r="Q139" s="83">
        <v>0</v>
      </c>
      <c r="R139" s="83">
        <v>0</v>
      </c>
      <c r="S139" s="83">
        <v>0</v>
      </c>
      <c r="V139" s="114"/>
    </row>
    <row r="140" spans="2:22" ht="13.5">
      <c r="B140" s="139"/>
      <c r="C140" s="160" t="s">
        <v>374</v>
      </c>
      <c r="D140" s="116"/>
      <c r="E140" s="116">
        <v>2</v>
      </c>
      <c r="F140" s="116">
        <v>0</v>
      </c>
      <c r="G140" s="134">
        <v>0</v>
      </c>
      <c r="H140" s="134">
        <v>0</v>
      </c>
      <c r="I140" s="161">
        <v>0.17</v>
      </c>
      <c r="J140" s="140"/>
      <c r="K140" s="120">
        <v>100</v>
      </c>
      <c r="L140" s="83">
        <v>106</v>
      </c>
      <c r="M140" s="83">
        <v>0</v>
      </c>
      <c r="N140" s="83">
        <v>1</v>
      </c>
      <c r="O140" s="83">
        <v>0</v>
      </c>
      <c r="P140" s="83">
        <v>0</v>
      </c>
      <c r="Q140" s="83">
        <v>0</v>
      </c>
      <c r="R140" s="83">
        <v>1</v>
      </c>
      <c r="S140" s="83">
        <v>0</v>
      </c>
      <c r="V140" s="114"/>
    </row>
    <row r="141" spans="2:22" ht="13.5">
      <c r="B141" s="139"/>
      <c r="C141" s="160" t="s">
        <v>375</v>
      </c>
      <c r="D141" s="116"/>
      <c r="E141" s="116">
        <v>1</v>
      </c>
      <c r="F141" s="116">
        <v>0</v>
      </c>
      <c r="G141" s="134">
        <v>0</v>
      </c>
      <c r="H141" s="134">
        <v>0</v>
      </c>
      <c r="I141" s="161">
        <v>0.27</v>
      </c>
      <c r="J141" s="140"/>
      <c r="K141" s="120">
        <v>121</v>
      </c>
      <c r="L141" s="83">
        <v>125</v>
      </c>
      <c r="M141" s="83">
        <v>0</v>
      </c>
      <c r="N141" s="83">
        <v>0</v>
      </c>
      <c r="O141" s="83">
        <v>0</v>
      </c>
      <c r="P141" s="83">
        <v>0</v>
      </c>
      <c r="Q141" s="83">
        <v>1</v>
      </c>
      <c r="R141" s="83">
        <v>1</v>
      </c>
      <c r="S141" s="83">
        <v>0</v>
      </c>
      <c r="V141" s="114"/>
    </row>
    <row r="142" spans="2:22" ht="13.5">
      <c r="B142" s="139"/>
      <c r="C142" s="160" t="s">
        <v>1169</v>
      </c>
      <c r="D142" s="116"/>
      <c r="E142" s="116">
        <v>0</v>
      </c>
      <c r="F142" s="116">
        <v>0</v>
      </c>
      <c r="G142" s="134">
        <v>0</v>
      </c>
      <c r="H142" s="134">
        <v>0</v>
      </c>
      <c r="I142" s="161">
        <v>0.38</v>
      </c>
      <c r="J142" s="140"/>
      <c r="K142" s="120">
        <v>189</v>
      </c>
      <c r="L142" s="83">
        <v>190</v>
      </c>
      <c r="M142" s="83">
        <v>0</v>
      </c>
      <c r="N142" s="83">
        <v>0</v>
      </c>
      <c r="O142" s="83">
        <v>0</v>
      </c>
      <c r="P142" s="83">
        <v>0</v>
      </c>
      <c r="Q142" s="83">
        <v>0</v>
      </c>
      <c r="R142" s="83">
        <v>0</v>
      </c>
      <c r="S142" s="83">
        <v>0</v>
      </c>
      <c r="V142" s="114"/>
    </row>
    <row r="143" spans="2:22" ht="13.5">
      <c r="B143" s="139"/>
      <c r="C143" s="160" t="s">
        <v>1064</v>
      </c>
      <c r="D143" s="116"/>
      <c r="E143" s="116">
        <v>1</v>
      </c>
      <c r="F143" s="116">
        <v>0</v>
      </c>
      <c r="G143" s="134">
        <v>0</v>
      </c>
      <c r="H143" s="134">
        <v>0</v>
      </c>
      <c r="I143" s="161">
        <v>0.22</v>
      </c>
      <c r="J143" s="140"/>
      <c r="K143" s="120">
        <v>122</v>
      </c>
      <c r="L143" s="83">
        <v>126</v>
      </c>
      <c r="M143" s="83">
        <v>0</v>
      </c>
      <c r="N143" s="83">
        <v>0</v>
      </c>
      <c r="O143" s="83">
        <v>0</v>
      </c>
      <c r="P143" s="83">
        <v>1</v>
      </c>
      <c r="Q143" s="83">
        <v>0</v>
      </c>
      <c r="R143" s="83">
        <v>1</v>
      </c>
      <c r="S143" s="83">
        <v>0</v>
      </c>
      <c r="V143" s="114"/>
    </row>
    <row r="144" spans="2:22" ht="13.5">
      <c r="B144" s="139"/>
      <c r="C144" s="160" t="s">
        <v>376</v>
      </c>
      <c r="D144" s="116"/>
      <c r="E144" s="116">
        <v>12</v>
      </c>
      <c r="F144" s="116">
        <v>2</v>
      </c>
      <c r="G144" s="134">
        <v>0.00375234521575985</v>
      </c>
      <c r="H144" s="134">
        <v>0.16666666666666666</v>
      </c>
      <c r="I144" s="161">
        <v>0.15</v>
      </c>
      <c r="J144" s="140"/>
      <c r="K144" s="120">
        <v>54</v>
      </c>
      <c r="L144" s="83">
        <v>51</v>
      </c>
      <c r="M144" s="83">
        <v>1</v>
      </c>
      <c r="N144" s="83">
        <v>0</v>
      </c>
      <c r="O144" s="83">
        <v>0</v>
      </c>
      <c r="P144" s="83">
        <v>0</v>
      </c>
      <c r="Q144" s="83">
        <v>0</v>
      </c>
      <c r="R144" s="83">
        <v>1</v>
      </c>
      <c r="S144" s="83">
        <v>1</v>
      </c>
      <c r="V144" s="114"/>
    </row>
    <row r="145" spans="2:22" ht="13.5">
      <c r="B145" s="139"/>
      <c r="C145" s="160" t="s">
        <v>1170</v>
      </c>
      <c r="D145" s="116"/>
      <c r="E145" s="116">
        <v>0</v>
      </c>
      <c r="F145" s="116">
        <v>0</v>
      </c>
      <c r="G145" s="134">
        <v>0</v>
      </c>
      <c r="H145" s="134">
        <v>0</v>
      </c>
      <c r="I145" s="161">
        <v>0.17</v>
      </c>
      <c r="J145" s="140"/>
      <c r="K145" s="120">
        <v>190</v>
      </c>
      <c r="L145" s="83">
        <v>191</v>
      </c>
      <c r="M145" s="83">
        <v>0</v>
      </c>
      <c r="N145" s="83">
        <v>0</v>
      </c>
      <c r="O145" s="83">
        <v>1</v>
      </c>
      <c r="P145" s="83">
        <v>0</v>
      </c>
      <c r="Q145" s="83">
        <v>0</v>
      </c>
      <c r="R145" s="83">
        <v>0</v>
      </c>
      <c r="S145" s="83">
        <v>0</v>
      </c>
      <c r="V145" s="114"/>
    </row>
    <row r="146" spans="2:22" ht="13.5">
      <c r="B146" s="139"/>
      <c r="C146" s="160" t="s">
        <v>1171</v>
      </c>
      <c r="D146" s="116"/>
      <c r="E146" s="116">
        <v>0</v>
      </c>
      <c r="F146" s="116">
        <v>0</v>
      </c>
      <c r="G146" s="134">
        <v>0</v>
      </c>
      <c r="H146" s="134">
        <v>0</v>
      </c>
      <c r="I146" s="161">
        <v>0.11</v>
      </c>
      <c r="J146" s="140"/>
      <c r="K146" s="120">
        <v>191</v>
      </c>
      <c r="L146" s="83">
        <v>192</v>
      </c>
      <c r="M146" s="83">
        <v>0</v>
      </c>
      <c r="N146" s="83">
        <v>0</v>
      </c>
      <c r="O146" s="83">
        <v>0</v>
      </c>
      <c r="P146" s="83">
        <v>0</v>
      </c>
      <c r="Q146" s="83">
        <v>0</v>
      </c>
      <c r="R146" s="83">
        <v>0</v>
      </c>
      <c r="S146" s="83">
        <v>0</v>
      </c>
      <c r="V146" s="114"/>
    </row>
    <row r="147" spans="2:22" ht="13.5">
      <c r="B147" s="139"/>
      <c r="C147" s="160" t="s">
        <v>1172</v>
      </c>
      <c r="D147" s="116"/>
      <c r="E147" s="116">
        <v>0</v>
      </c>
      <c r="F147" s="116">
        <v>0</v>
      </c>
      <c r="G147" s="134">
        <v>0</v>
      </c>
      <c r="H147" s="134">
        <v>0</v>
      </c>
      <c r="I147" s="161">
        <v>0.56</v>
      </c>
      <c r="J147" s="140"/>
      <c r="K147" s="120">
        <v>192</v>
      </c>
      <c r="L147" s="83">
        <v>193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V147" s="114"/>
    </row>
    <row r="148" spans="2:22" ht="13.5">
      <c r="B148" s="139"/>
      <c r="C148" s="160" t="s">
        <v>377</v>
      </c>
      <c r="D148" s="116"/>
      <c r="E148" s="116">
        <v>1</v>
      </c>
      <c r="F148" s="116">
        <v>0</v>
      </c>
      <c r="G148" s="134">
        <v>0</v>
      </c>
      <c r="H148" s="134">
        <v>0</v>
      </c>
      <c r="I148" s="161">
        <v>0.24</v>
      </c>
      <c r="J148" s="140"/>
      <c r="K148" s="120">
        <v>123</v>
      </c>
      <c r="L148" s="83">
        <v>127</v>
      </c>
      <c r="M148" s="83">
        <v>0</v>
      </c>
      <c r="N148" s="83">
        <v>0</v>
      </c>
      <c r="O148" s="83">
        <v>0</v>
      </c>
      <c r="P148" s="83">
        <v>1</v>
      </c>
      <c r="Q148" s="83">
        <v>0</v>
      </c>
      <c r="R148" s="83">
        <v>1</v>
      </c>
      <c r="S148" s="83">
        <v>0</v>
      </c>
      <c r="V148" s="114"/>
    </row>
    <row r="149" spans="2:22" ht="13.5">
      <c r="B149" s="139"/>
      <c r="C149" s="160" t="s">
        <v>1173</v>
      </c>
      <c r="D149" s="116"/>
      <c r="E149" s="116">
        <v>0</v>
      </c>
      <c r="F149" s="116">
        <v>0</v>
      </c>
      <c r="G149" s="134">
        <v>0</v>
      </c>
      <c r="H149" s="134">
        <v>0</v>
      </c>
      <c r="I149" s="161">
        <v>0.32</v>
      </c>
      <c r="J149" s="140"/>
      <c r="K149" s="120">
        <v>193</v>
      </c>
      <c r="L149" s="83">
        <v>194</v>
      </c>
      <c r="M149" s="83">
        <v>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V149" s="114"/>
    </row>
    <row r="150" spans="2:22" ht="13.5">
      <c r="B150" s="139"/>
      <c r="C150" s="160" t="s">
        <v>1065</v>
      </c>
      <c r="D150" s="116"/>
      <c r="E150" s="116">
        <v>3</v>
      </c>
      <c r="F150" s="116">
        <v>1</v>
      </c>
      <c r="G150" s="134">
        <v>0.001876172607879925</v>
      </c>
      <c r="H150" s="134">
        <v>0.3333333333333333</v>
      </c>
      <c r="I150" s="161">
        <v>0.2</v>
      </c>
      <c r="J150" s="140"/>
      <c r="K150" s="120">
        <v>90</v>
      </c>
      <c r="L150" s="83">
        <v>76</v>
      </c>
      <c r="M150" s="83">
        <v>0</v>
      </c>
      <c r="N150" s="83">
        <v>1</v>
      </c>
      <c r="O150" s="83">
        <v>0</v>
      </c>
      <c r="P150" s="83">
        <v>0</v>
      </c>
      <c r="Q150" s="83">
        <v>0</v>
      </c>
      <c r="R150" s="83">
        <v>1</v>
      </c>
      <c r="S150" s="83">
        <v>1</v>
      </c>
      <c r="V150" s="114"/>
    </row>
    <row r="151" spans="2:22" ht="13.5">
      <c r="B151" s="139"/>
      <c r="C151" s="160" t="s">
        <v>1174</v>
      </c>
      <c r="D151" s="116"/>
      <c r="E151" s="116">
        <v>0</v>
      </c>
      <c r="F151" s="116">
        <v>0</v>
      </c>
      <c r="G151" s="134">
        <v>0</v>
      </c>
      <c r="H151" s="134">
        <v>0</v>
      </c>
      <c r="I151" s="161">
        <v>0.47</v>
      </c>
      <c r="J151" s="140"/>
      <c r="K151" s="120">
        <v>194</v>
      </c>
      <c r="L151" s="83">
        <v>195</v>
      </c>
      <c r="M151" s="83">
        <v>0</v>
      </c>
      <c r="N151" s="83">
        <v>0</v>
      </c>
      <c r="O151" s="83">
        <v>0</v>
      </c>
      <c r="P151" s="83">
        <v>0</v>
      </c>
      <c r="Q151" s="83">
        <v>0</v>
      </c>
      <c r="R151" s="83">
        <v>0</v>
      </c>
      <c r="S151" s="83">
        <v>0</v>
      </c>
      <c r="V151" s="114"/>
    </row>
    <row r="152" spans="2:22" ht="13.5">
      <c r="B152" s="139"/>
      <c r="C152" s="160" t="s">
        <v>378</v>
      </c>
      <c r="D152" s="116"/>
      <c r="E152" s="116">
        <v>5</v>
      </c>
      <c r="F152" s="116">
        <v>2</v>
      </c>
      <c r="G152" s="134">
        <v>0.00375234521575985</v>
      </c>
      <c r="H152" s="134">
        <v>0.4</v>
      </c>
      <c r="I152" s="161">
        <v>0.13</v>
      </c>
      <c r="J152" s="140"/>
      <c r="K152" s="120">
        <v>74</v>
      </c>
      <c r="L152" s="83">
        <v>54</v>
      </c>
      <c r="M152" s="83">
        <v>0</v>
      </c>
      <c r="N152" s="83">
        <v>0</v>
      </c>
      <c r="O152" s="83">
        <v>1</v>
      </c>
      <c r="P152" s="83">
        <v>0</v>
      </c>
      <c r="Q152" s="83">
        <v>0</v>
      </c>
      <c r="R152" s="83">
        <v>1</v>
      </c>
      <c r="S152" s="83">
        <v>1</v>
      </c>
      <c r="V152" s="114"/>
    </row>
    <row r="153" spans="2:22" ht="13.5">
      <c r="B153" s="139"/>
      <c r="C153" s="160" t="s">
        <v>1175</v>
      </c>
      <c r="D153" s="116"/>
      <c r="E153" s="116">
        <v>0</v>
      </c>
      <c r="F153" s="116">
        <v>0</v>
      </c>
      <c r="G153" s="134">
        <v>0</v>
      </c>
      <c r="H153" s="134">
        <v>0</v>
      </c>
      <c r="I153" s="161">
        <v>0.3</v>
      </c>
      <c r="J153" s="140"/>
      <c r="K153" s="120">
        <v>195</v>
      </c>
      <c r="L153" s="83">
        <v>196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0</v>
      </c>
      <c r="V153" s="114"/>
    </row>
    <row r="154" spans="2:22" ht="13.5">
      <c r="B154" s="139"/>
      <c r="C154" s="160" t="s">
        <v>1176</v>
      </c>
      <c r="D154" s="116"/>
      <c r="E154" s="116">
        <v>0</v>
      </c>
      <c r="F154" s="116">
        <v>0</v>
      </c>
      <c r="G154" s="134">
        <v>0</v>
      </c>
      <c r="H154" s="134">
        <v>0</v>
      </c>
      <c r="I154" s="161">
        <v>0.44</v>
      </c>
      <c r="J154" s="140"/>
      <c r="K154" s="120">
        <v>196</v>
      </c>
      <c r="L154" s="83">
        <v>197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83">
        <v>0</v>
      </c>
      <c r="S154" s="83">
        <v>0</v>
      </c>
      <c r="V154" s="114"/>
    </row>
    <row r="155" spans="2:22" ht="13.5">
      <c r="B155" s="139"/>
      <c r="C155" s="160" t="s">
        <v>1177</v>
      </c>
      <c r="D155" s="116"/>
      <c r="E155" s="116">
        <v>0</v>
      </c>
      <c r="F155" s="116">
        <v>0</v>
      </c>
      <c r="G155" s="134">
        <v>0</v>
      </c>
      <c r="H155" s="134">
        <v>0</v>
      </c>
      <c r="I155" s="161">
        <v>0.5</v>
      </c>
      <c r="J155" s="140"/>
      <c r="K155" s="120">
        <v>197</v>
      </c>
      <c r="L155" s="83">
        <v>198</v>
      </c>
      <c r="M155" s="83">
        <v>0</v>
      </c>
      <c r="N155" s="83">
        <v>0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V155" s="114"/>
    </row>
    <row r="156" spans="2:22" ht="13.5">
      <c r="B156" s="139"/>
      <c r="C156" s="160" t="s">
        <v>1178</v>
      </c>
      <c r="D156" s="116"/>
      <c r="E156" s="116">
        <v>0</v>
      </c>
      <c r="F156" s="116">
        <v>0</v>
      </c>
      <c r="G156" s="134">
        <v>0</v>
      </c>
      <c r="H156" s="134">
        <v>0</v>
      </c>
      <c r="I156" s="161">
        <v>0</v>
      </c>
      <c r="J156" s="140"/>
      <c r="K156" s="120">
        <v>198</v>
      </c>
      <c r="L156" s="83">
        <v>199</v>
      </c>
      <c r="M156" s="83">
        <v>0</v>
      </c>
      <c r="N156" s="83">
        <v>0</v>
      </c>
      <c r="O156" s="83">
        <v>0</v>
      </c>
      <c r="P156" s="83">
        <v>0</v>
      </c>
      <c r="Q156" s="83">
        <v>0</v>
      </c>
      <c r="R156" s="83">
        <v>0</v>
      </c>
      <c r="S156" s="83">
        <v>0</v>
      </c>
      <c r="V156" s="114"/>
    </row>
    <row r="157" spans="2:22" ht="13.5">
      <c r="B157" s="139"/>
      <c r="C157" s="160" t="s">
        <v>1179</v>
      </c>
      <c r="D157" s="116"/>
      <c r="E157" s="116">
        <v>0</v>
      </c>
      <c r="F157" s="116">
        <v>0</v>
      </c>
      <c r="G157" s="134">
        <v>0</v>
      </c>
      <c r="H157" s="134">
        <v>0</v>
      </c>
      <c r="I157" s="161">
        <v>0</v>
      </c>
      <c r="J157" s="140"/>
      <c r="K157" s="120">
        <v>199</v>
      </c>
      <c r="L157" s="83">
        <v>200</v>
      </c>
      <c r="M157" s="83">
        <v>0</v>
      </c>
      <c r="N157" s="83">
        <v>0</v>
      </c>
      <c r="O157" s="83">
        <v>0</v>
      </c>
      <c r="P157" s="83">
        <v>0</v>
      </c>
      <c r="Q157" s="83">
        <v>0</v>
      </c>
      <c r="R157" s="83">
        <v>0</v>
      </c>
      <c r="S157" s="83">
        <v>0</v>
      </c>
      <c r="V157" s="114"/>
    </row>
    <row r="158" spans="2:22" ht="13.5">
      <c r="B158" s="139"/>
      <c r="C158" s="160" t="s">
        <v>1066</v>
      </c>
      <c r="D158" s="116"/>
      <c r="E158" s="116">
        <v>0</v>
      </c>
      <c r="F158" s="116">
        <v>1</v>
      </c>
      <c r="G158" s="134">
        <v>0.001876172607879925</v>
      </c>
      <c r="H158" s="134">
        <v>0</v>
      </c>
      <c r="I158" s="161">
        <v>0.29</v>
      </c>
      <c r="J158" s="140"/>
      <c r="K158" s="120">
        <v>200</v>
      </c>
      <c r="L158" s="83">
        <v>84</v>
      </c>
      <c r="M158" s="83">
        <v>0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1</v>
      </c>
      <c r="V158" s="114"/>
    </row>
    <row r="159" spans="2:22" ht="13.5">
      <c r="B159" s="139"/>
      <c r="C159" s="160" t="s">
        <v>1180</v>
      </c>
      <c r="D159" s="116"/>
      <c r="E159" s="116">
        <v>0</v>
      </c>
      <c r="F159" s="116">
        <v>0</v>
      </c>
      <c r="G159" s="134">
        <v>0</v>
      </c>
      <c r="H159" s="134">
        <v>0</v>
      </c>
      <c r="I159" s="161">
        <v>0.38</v>
      </c>
      <c r="J159" s="140"/>
      <c r="K159" s="120">
        <v>201</v>
      </c>
      <c r="L159" s="83">
        <v>201</v>
      </c>
      <c r="M159" s="83">
        <v>0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V159" s="114"/>
    </row>
    <row r="160" spans="2:22" ht="13.5">
      <c r="B160" s="139"/>
      <c r="C160" s="160" t="s">
        <v>1181</v>
      </c>
      <c r="D160" s="116"/>
      <c r="E160" s="116">
        <v>0</v>
      </c>
      <c r="F160" s="116">
        <v>0</v>
      </c>
      <c r="G160" s="134">
        <v>0</v>
      </c>
      <c r="H160" s="134">
        <v>0</v>
      </c>
      <c r="I160" s="161">
        <v>0.33</v>
      </c>
      <c r="J160" s="140"/>
      <c r="K160" s="120">
        <v>202</v>
      </c>
      <c r="L160" s="83">
        <v>202</v>
      </c>
      <c r="M160" s="83">
        <v>0</v>
      </c>
      <c r="N160" s="83">
        <v>0</v>
      </c>
      <c r="O160" s="83">
        <v>0</v>
      </c>
      <c r="P160" s="83">
        <v>0</v>
      </c>
      <c r="Q160" s="83">
        <v>1</v>
      </c>
      <c r="R160" s="83">
        <v>0</v>
      </c>
      <c r="S160" s="83">
        <v>0</v>
      </c>
      <c r="V160" s="114"/>
    </row>
    <row r="161" spans="2:22" ht="13.5">
      <c r="B161" s="139"/>
      <c r="C161" s="160" t="s">
        <v>1067</v>
      </c>
      <c r="D161" s="116"/>
      <c r="E161" s="116">
        <v>3</v>
      </c>
      <c r="F161" s="116">
        <v>0</v>
      </c>
      <c r="G161" s="134">
        <v>0</v>
      </c>
      <c r="H161" s="134">
        <v>0</v>
      </c>
      <c r="I161" s="161">
        <v>0.15</v>
      </c>
      <c r="J161" s="140"/>
      <c r="K161" s="120">
        <v>91</v>
      </c>
      <c r="L161" s="83">
        <v>100</v>
      </c>
      <c r="M161" s="83">
        <v>0</v>
      </c>
      <c r="N161" s="83">
        <v>0</v>
      </c>
      <c r="O161" s="83">
        <v>0</v>
      </c>
      <c r="P161" s="83">
        <v>0</v>
      </c>
      <c r="Q161" s="83">
        <v>0</v>
      </c>
      <c r="R161" s="83">
        <v>1</v>
      </c>
      <c r="S161" s="83">
        <v>0</v>
      </c>
      <c r="V161" s="114"/>
    </row>
    <row r="162" spans="2:22" ht="13.5">
      <c r="B162" s="139"/>
      <c r="C162" s="160" t="s">
        <v>1182</v>
      </c>
      <c r="D162" s="116"/>
      <c r="E162" s="116">
        <v>8</v>
      </c>
      <c r="F162" s="116">
        <v>1</v>
      </c>
      <c r="G162" s="134">
        <v>0.001876172607879925</v>
      </c>
      <c r="H162" s="134">
        <v>0.125</v>
      </c>
      <c r="I162" s="161">
        <v>0.15</v>
      </c>
      <c r="J162" s="140"/>
      <c r="K162" s="120">
        <v>62</v>
      </c>
      <c r="L162" s="83">
        <v>67</v>
      </c>
      <c r="M162" s="83">
        <v>0</v>
      </c>
      <c r="N162" s="83">
        <v>0</v>
      </c>
      <c r="O162" s="83">
        <v>0</v>
      </c>
      <c r="P162" s="83">
        <v>1</v>
      </c>
      <c r="Q162" s="83">
        <v>0</v>
      </c>
      <c r="R162" s="83">
        <v>1</v>
      </c>
      <c r="S162" s="83">
        <v>1</v>
      </c>
      <c r="V162" s="114"/>
    </row>
    <row r="163" spans="2:22" ht="13.5">
      <c r="B163" s="139"/>
      <c r="C163" s="160" t="s">
        <v>1183</v>
      </c>
      <c r="D163" s="116"/>
      <c r="E163" s="116">
        <v>0</v>
      </c>
      <c r="F163" s="116">
        <v>0</v>
      </c>
      <c r="G163" s="134">
        <v>0</v>
      </c>
      <c r="H163" s="134">
        <v>0</v>
      </c>
      <c r="I163" s="161">
        <v>0.82</v>
      </c>
      <c r="J163" s="140"/>
      <c r="K163" s="120">
        <v>203</v>
      </c>
      <c r="L163" s="83">
        <v>203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83">
        <v>0</v>
      </c>
      <c r="S163" s="83">
        <v>0</v>
      </c>
      <c r="V163" s="114"/>
    </row>
    <row r="164" spans="2:22" ht="13.5">
      <c r="B164" s="139"/>
      <c r="C164" s="160" t="s">
        <v>1184</v>
      </c>
      <c r="D164" s="116"/>
      <c r="E164" s="116">
        <v>0</v>
      </c>
      <c r="F164" s="116">
        <v>0</v>
      </c>
      <c r="G164" s="134">
        <v>0</v>
      </c>
      <c r="H164" s="134">
        <v>0</v>
      </c>
      <c r="I164" s="161">
        <v>0.33</v>
      </c>
      <c r="J164" s="140"/>
      <c r="K164" s="120">
        <v>204</v>
      </c>
      <c r="L164" s="83">
        <v>204</v>
      </c>
      <c r="M164" s="83">
        <v>0</v>
      </c>
      <c r="N164" s="83">
        <v>0</v>
      </c>
      <c r="O164" s="83">
        <v>0</v>
      </c>
      <c r="P164" s="83">
        <v>0</v>
      </c>
      <c r="Q164" s="83">
        <v>0</v>
      </c>
      <c r="R164" s="83">
        <v>0</v>
      </c>
      <c r="S164" s="83">
        <v>0</v>
      </c>
      <c r="V164" s="114"/>
    </row>
    <row r="165" spans="2:22" ht="13.5">
      <c r="B165" s="139"/>
      <c r="C165" s="160" t="s">
        <v>1185</v>
      </c>
      <c r="D165" s="116"/>
      <c r="E165" s="116">
        <v>0</v>
      </c>
      <c r="F165" s="116">
        <v>0</v>
      </c>
      <c r="G165" s="134">
        <v>0</v>
      </c>
      <c r="H165" s="134">
        <v>0</v>
      </c>
      <c r="I165" s="161">
        <v>1.79</v>
      </c>
      <c r="J165" s="140"/>
      <c r="K165" s="120">
        <v>205</v>
      </c>
      <c r="L165" s="83">
        <v>205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0</v>
      </c>
      <c r="V165" s="114"/>
    </row>
    <row r="166" spans="2:22" ht="13.5">
      <c r="B166" s="139"/>
      <c r="C166" s="160" t="s">
        <v>1186</v>
      </c>
      <c r="D166" s="116"/>
      <c r="E166" s="116">
        <v>0</v>
      </c>
      <c r="F166" s="116">
        <v>0</v>
      </c>
      <c r="G166" s="134">
        <v>0</v>
      </c>
      <c r="H166" s="134">
        <v>0</v>
      </c>
      <c r="I166" s="161">
        <v>0.32</v>
      </c>
      <c r="J166" s="140"/>
      <c r="K166" s="120">
        <v>206</v>
      </c>
      <c r="L166" s="83">
        <v>206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V166" s="114"/>
    </row>
    <row r="167" spans="2:22" ht="13.5">
      <c r="B167" s="139"/>
      <c r="C167" s="160" t="s">
        <v>1187</v>
      </c>
      <c r="D167" s="116"/>
      <c r="E167" s="116">
        <v>0</v>
      </c>
      <c r="F167" s="116">
        <v>0</v>
      </c>
      <c r="G167" s="134">
        <v>0</v>
      </c>
      <c r="H167" s="134">
        <v>0</v>
      </c>
      <c r="I167" s="161">
        <v>0.51</v>
      </c>
      <c r="J167" s="140"/>
      <c r="K167" s="120">
        <v>207</v>
      </c>
      <c r="L167" s="83">
        <v>207</v>
      </c>
      <c r="M167" s="83">
        <v>0</v>
      </c>
      <c r="N167" s="83">
        <v>0</v>
      </c>
      <c r="O167" s="83">
        <v>0</v>
      </c>
      <c r="P167" s="83">
        <v>0</v>
      </c>
      <c r="Q167" s="83">
        <v>0</v>
      </c>
      <c r="R167" s="83">
        <v>0</v>
      </c>
      <c r="S167" s="83">
        <v>0</v>
      </c>
      <c r="V167" s="114"/>
    </row>
    <row r="168" spans="2:22" ht="13.5">
      <c r="B168" s="139"/>
      <c r="C168" s="160" t="s">
        <v>1188</v>
      </c>
      <c r="D168" s="116"/>
      <c r="E168" s="116">
        <v>123</v>
      </c>
      <c r="F168" s="116">
        <v>41</v>
      </c>
      <c r="G168" s="134">
        <v>0.07692307692307693</v>
      </c>
      <c r="H168" s="134">
        <v>0.3333333333333333</v>
      </c>
      <c r="I168" s="161">
        <v>0.21</v>
      </c>
      <c r="J168" s="140"/>
      <c r="K168" s="120">
        <v>3</v>
      </c>
      <c r="L168" s="83">
        <v>2</v>
      </c>
      <c r="M168" s="83">
        <v>0</v>
      </c>
      <c r="N168" s="83">
        <v>0</v>
      </c>
      <c r="O168" s="83">
        <v>0</v>
      </c>
      <c r="P168" s="83">
        <v>1</v>
      </c>
      <c r="Q168" s="83">
        <v>0</v>
      </c>
      <c r="R168" s="83">
        <v>1</v>
      </c>
      <c r="S168" s="83">
        <v>1</v>
      </c>
      <c r="V168" s="114"/>
    </row>
    <row r="169" spans="2:22" ht="13.5">
      <c r="B169" s="139"/>
      <c r="C169" s="160" t="s">
        <v>1189</v>
      </c>
      <c r="D169" s="116"/>
      <c r="E169" s="116">
        <v>65</v>
      </c>
      <c r="F169" s="116">
        <v>4</v>
      </c>
      <c r="G169" s="134">
        <v>0.0075046904315197</v>
      </c>
      <c r="H169" s="134">
        <v>0.06153846153846154</v>
      </c>
      <c r="I169" s="161">
        <v>0.27</v>
      </c>
      <c r="J169" s="140"/>
      <c r="K169" s="120">
        <v>14</v>
      </c>
      <c r="L169" s="83">
        <v>33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83">
        <v>1</v>
      </c>
      <c r="S169" s="83">
        <v>1</v>
      </c>
      <c r="V169" s="114"/>
    </row>
    <row r="170" spans="2:22" ht="13.5">
      <c r="B170" s="139"/>
      <c r="C170" s="160" t="s">
        <v>1190</v>
      </c>
      <c r="D170" s="116"/>
      <c r="E170" s="116">
        <v>0</v>
      </c>
      <c r="F170" s="116">
        <v>0</v>
      </c>
      <c r="G170" s="134">
        <v>0</v>
      </c>
      <c r="H170" s="134">
        <v>0</v>
      </c>
      <c r="I170" s="161">
        <v>0.56</v>
      </c>
      <c r="J170" s="140"/>
      <c r="K170" s="120">
        <v>208</v>
      </c>
      <c r="L170" s="83">
        <v>208</v>
      </c>
      <c r="M170" s="83">
        <v>0</v>
      </c>
      <c r="N170" s="83">
        <v>0</v>
      </c>
      <c r="O170" s="83">
        <v>0</v>
      </c>
      <c r="P170" s="83">
        <v>0</v>
      </c>
      <c r="Q170" s="83">
        <v>0</v>
      </c>
      <c r="R170" s="83">
        <v>0</v>
      </c>
      <c r="S170" s="83">
        <v>0</v>
      </c>
      <c r="V170" s="114"/>
    </row>
    <row r="171" spans="2:22" ht="13.5">
      <c r="B171" s="139"/>
      <c r="C171" s="160" t="s">
        <v>1191</v>
      </c>
      <c r="D171" s="116"/>
      <c r="E171" s="116">
        <v>1</v>
      </c>
      <c r="F171" s="116">
        <v>0</v>
      </c>
      <c r="G171" s="134">
        <v>0</v>
      </c>
      <c r="H171" s="134">
        <v>0</v>
      </c>
      <c r="I171" s="161">
        <v>0.14</v>
      </c>
      <c r="J171" s="140"/>
      <c r="K171" s="120">
        <v>124</v>
      </c>
      <c r="L171" s="83">
        <v>128</v>
      </c>
      <c r="M171" s="83">
        <v>0</v>
      </c>
      <c r="N171" s="83">
        <v>0</v>
      </c>
      <c r="O171" s="83">
        <v>0</v>
      </c>
      <c r="P171" s="83">
        <v>0</v>
      </c>
      <c r="Q171" s="83">
        <v>0</v>
      </c>
      <c r="R171" s="83">
        <v>1</v>
      </c>
      <c r="S171" s="83">
        <v>0</v>
      </c>
      <c r="V171" s="114"/>
    </row>
    <row r="172" spans="2:22" ht="13.5">
      <c r="B172" s="139"/>
      <c r="C172" s="160" t="s">
        <v>1192</v>
      </c>
      <c r="D172" s="116"/>
      <c r="E172" s="116">
        <v>0</v>
      </c>
      <c r="F172" s="116">
        <v>0</v>
      </c>
      <c r="G172" s="134">
        <v>0</v>
      </c>
      <c r="H172" s="134">
        <v>0</v>
      </c>
      <c r="I172" s="161">
        <v>0</v>
      </c>
      <c r="J172" s="140"/>
      <c r="K172" s="120">
        <v>209</v>
      </c>
      <c r="L172" s="83">
        <v>209</v>
      </c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3">
        <v>0</v>
      </c>
      <c r="S172" s="83">
        <v>0</v>
      </c>
      <c r="V172" s="114"/>
    </row>
    <row r="173" spans="2:22" ht="13.5">
      <c r="B173" s="139"/>
      <c r="C173" s="160" t="s">
        <v>1193</v>
      </c>
      <c r="D173" s="116"/>
      <c r="E173" s="116">
        <v>0</v>
      </c>
      <c r="F173" s="116">
        <v>0</v>
      </c>
      <c r="G173" s="134">
        <v>0</v>
      </c>
      <c r="H173" s="134">
        <v>0</v>
      </c>
      <c r="I173" s="161">
        <v>0</v>
      </c>
      <c r="J173" s="140"/>
      <c r="K173" s="120">
        <v>210</v>
      </c>
      <c r="L173" s="83">
        <v>210</v>
      </c>
      <c r="M173" s="83">
        <v>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V173" s="114"/>
    </row>
    <row r="174" spans="2:22" ht="13.5">
      <c r="B174" s="139"/>
      <c r="C174" s="160" t="s">
        <v>379</v>
      </c>
      <c r="D174" s="116"/>
      <c r="E174" s="116">
        <v>8</v>
      </c>
      <c r="F174" s="116">
        <v>3</v>
      </c>
      <c r="G174" s="134">
        <v>0.005628517823639775</v>
      </c>
      <c r="H174" s="134">
        <v>0.375</v>
      </c>
      <c r="I174" s="161">
        <v>0.15</v>
      </c>
      <c r="J174" s="140"/>
      <c r="K174" s="120">
        <v>63</v>
      </c>
      <c r="L174" s="83">
        <v>45</v>
      </c>
      <c r="M174" s="83">
        <v>1</v>
      </c>
      <c r="N174" s="83">
        <v>0</v>
      </c>
      <c r="O174" s="83">
        <v>0</v>
      </c>
      <c r="P174" s="83">
        <v>0</v>
      </c>
      <c r="Q174" s="83">
        <v>0</v>
      </c>
      <c r="R174" s="83">
        <v>1</v>
      </c>
      <c r="S174" s="83">
        <v>1</v>
      </c>
      <c r="V174" s="114"/>
    </row>
    <row r="175" spans="2:22" ht="13.5">
      <c r="B175" s="139"/>
      <c r="C175" s="160" t="s">
        <v>1194</v>
      </c>
      <c r="D175" s="116"/>
      <c r="E175" s="116">
        <v>0</v>
      </c>
      <c r="F175" s="116">
        <v>0</v>
      </c>
      <c r="G175" s="134">
        <v>0</v>
      </c>
      <c r="H175" s="134">
        <v>0</v>
      </c>
      <c r="I175" s="161">
        <v>0.2</v>
      </c>
      <c r="J175" s="140"/>
      <c r="K175" s="120">
        <v>211</v>
      </c>
      <c r="L175" s="83">
        <v>211</v>
      </c>
      <c r="M175" s="83">
        <v>0</v>
      </c>
      <c r="N175" s="83">
        <v>0</v>
      </c>
      <c r="O175" s="83">
        <v>0</v>
      </c>
      <c r="P175" s="83">
        <v>0</v>
      </c>
      <c r="Q175" s="83">
        <v>0</v>
      </c>
      <c r="R175" s="83">
        <v>0</v>
      </c>
      <c r="S175" s="83">
        <v>0</v>
      </c>
      <c r="V175" s="114"/>
    </row>
    <row r="176" spans="2:22" ht="13.5">
      <c r="B176" s="139"/>
      <c r="C176" s="160" t="s">
        <v>1195</v>
      </c>
      <c r="D176" s="116"/>
      <c r="E176" s="116">
        <v>0</v>
      </c>
      <c r="F176" s="116">
        <v>0</v>
      </c>
      <c r="G176" s="134">
        <v>0</v>
      </c>
      <c r="H176" s="134">
        <v>0</v>
      </c>
      <c r="I176" s="161">
        <v>1.06</v>
      </c>
      <c r="J176" s="140"/>
      <c r="K176" s="120">
        <v>212</v>
      </c>
      <c r="L176" s="83">
        <v>212</v>
      </c>
      <c r="M176" s="83">
        <v>0</v>
      </c>
      <c r="N176" s="83">
        <v>0</v>
      </c>
      <c r="O176" s="83">
        <v>0</v>
      </c>
      <c r="P176" s="83">
        <v>0</v>
      </c>
      <c r="Q176" s="83">
        <v>0</v>
      </c>
      <c r="R176" s="83">
        <v>0</v>
      </c>
      <c r="S176" s="83">
        <v>0</v>
      </c>
      <c r="V176" s="114"/>
    </row>
    <row r="177" spans="2:22" ht="13.5">
      <c r="B177" s="139"/>
      <c r="C177" s="160" t="s">
        <v>1196</v>
      </c>
      <c r="D177" s="116"/>
      <c r="E177" s="116">
        <v>0</v>
      </c>
      <c r="F177" s="116">
        <v>0</v>
      </c>
      <c r="G177" s="134">
        <v>0</v>
      </c>
      <c r="H177" s="134">
        <v>0</v>
      </c>
      <c r="I177" s="161">
        <v>2</v>
      </c>
      <c r="J177" s="140"/>
      <c r="K177" s="120">
        <v>213</v>
      </c>
      <c r="L177" s="83">
        <v>213</v>
      </c>
      <c r="M177" s="83">
        <v>0</v>
      </c>
      <c r="N177" s="83">
        <v>0</v>
      </c>
      <c r="O177" s="83">
        <v>0</v>
      </c>
      <c r="P177" s="83">
        <v>0</v>
      </c>
      <c r="Q177" s="83">
        <v>0</v>
      </c>
      <c r="R177" s="83">
        <v>0</v>
      </c>
      <c r="S177" s="83">
        <v>0</v>
      </c>
      <c r="V177" s="114"/>
    </row>
    <row r="178" spans="2:22" ht="13.5">
      <c r="B178" s="139"/>
      <c r="C178" s="160" t="s">
        <v>1197</v>
      </c>
      <c r="D178" s="116"/>
      <c r="E178" s="116">
        <v>12</v>
      </c>
      <c r="F178" s="116">
        <v>3</v>
      </c>
      <c r="G178" s="134">
        <v>0.005628517823639775</v>
      </c>
      <c r="H178" s="134">
        <v>0.25</v>
      </c>
      <c r="I178" s="161">
        <v>0.11</v>
      </c>
      <c r="J178" s="140"/>
      <c r="K178" s="120">
        <v>55</v>
      </c>
      <c r="L178" s="83">
        <v>43</v>
      </c>
      <c r="M178" s="83">
        <v>0</v>
      </c>
      <c r="N178" s="83">
        <v>0</v>
      </c>
      <c r="O178" s="83">
        <v>0</v>
      </c>
      <c r="P178" s="83">
        <v>0</v>
      </c>
      <c r="Q178" s="83">
        <v>0</v>
      </c>
      <c r="R178" s="83">
        <v>1</v>
      </c>
      <c r="S178" s="83">
        <v>1</v>
      </c>
      <c r="V178" s="114"/>
    </row>
    <row r="179" spans="2:22" ht="13.5">
      <c r="B179" s="139"/>
      <c r="C179" s="160" t="s">
        <v>1198</v>
      </c>
      <c r="D179" s="116"/>
      <c r="E179" s="116">
        <v>0</v>
      </c>
      <c r="F179" s="116">
        <v>0</v>
      </c>
      <c r="G179" s="134">
        <v>0</v>
      </c>
      <c r="H179" s="134">
        <v>0</v>
      </c>
      <c r="I179" s="161">
        <v>0.01</v>
      </c>
      <c r="J179" s="140"/>
      <c r="K179" s="120">
        <v>214</v>
      </c>
      <c r="L179" s="83">
        <v>214</v>
      </c>
      <c r="M179" s="83">
        <v>0</v>
      </c>
      <c r="N179" s="83">
        <v>0</v>
      </c>
      <c r="O179" s="83">
        <v>0</v>
      </c>
      <c r="P179" s="83">
        <v>0</v>
      </c>
      <c r="Q179" s="83">
        <v>0</v>
      </c>
      <c r="R179" s="83">
        <v>0</v>
      </c>
      <c r="S179" s="83">
        <v>0</v>
      </c>
      <c r="V179" s="114"/>
    </row>
    <row r="180" spans="2:22" ht="13.5">
      <c r="B180" s="139"/>
      <c r="C180" s="160" t="s">
        <v>380</v>
      </c>
      <c r="D180" s="116"/>
      <c r="E180" s="116">
        <v>8</v>
      </c>
      <c r="F180" s="116">
        <v>2</v>
      </c>
      <c r="G180" s="134">
        <v>0.00375234521575985</v>
      </c>
      <c r="H180" s="134">
        <v>0.25</v>
      </c>
      <c r="I180" s="161">
        <v>0.19</v>
      </c>
      <c r="J180" s="140"/>
      <c r="K180" s="120">
        <v>64</v>
      </c>
      <c r="L180" s="83">
        <v>53</v>
      </c>
      <c r="M180" s="83">
        <v>0</v>
      </c>
      <c r="N180" s="83">
        <v>0</v>
      </c>
      <c r="O180" s="83">
        <v>0</v>
      </c>
      <c r="P180" s="83">
        <v>1</v>
      </c>
      <c r="Q180" s="83">
        <v>0</v>
      </c>
      <c r="R180" s="83">
        <v>1</v>
      </c>
      <c r="S180" s="83">
        <v>1</v>
      </c>
      <c r="V180" s="114"/>
    </row>
    <row r="181" spans="2:22" ht="13.5">
      <c r="B181" s="139"/>
      <c r="C181" s="160" t="s">
        <v>381</v>
      </c>
      <c r="D181" s="116"/>
      <c r="E181" s="116">
        <v>5</v>
      </c>
      <c r="F181" s="116">
        <v>1</v>
      </c>
      <c r="G181" s="134">
        <v>0.001876172607879925</v>
      </c>
      <c r="H181" s="134">
        <v>0.2</v>
      </c>
      <c r="I181" s="161">
        <v>0.13</v>
      </c>
      <c r="J181" s="140"/>
      <c r="K181" s="120">
        <v>75</v>
      </c>
      <c r="L181" s="83">
        <v>72</v>
      </c>
      <c r="M181" s="83">
        <v>1</v>
      </c>
      <c r="N181" s="83">
        <v>0</v>
      </c>
      <c r="O181" s="83">
        <v>0</v>
      </c>
      <c r="P181" s="83">
        <v>0</v>
      </c>
      <c r="Q181" s="83">
        <v>0</v>
      </c>
      <c r="R181" s="83">
        <v>1</v>
      </c>
      <c r="S181" s="83">
        <v>1</v>
      </c>
      <c r="V181" s="114"/>
    </row>
    <row r="182" spans="2:22" ht="13.5">
      <c r="B182" s="139"/>
      <c r="C182" s="160" t="s">
        <v>1199</v>
      </c>
      <c r="D182" s="116"/>
      <c r="E182" s="116">
        <v>0</v>
      </c>
      <c r="F182" s="116">
        <v>0</v>
      </c>
      <c r="G182" s="134">
        <v>0</v>
      </c>
      <c r="H182" s="134">
        <v>0</v>
      </c>
      <c r="I182" s="161">
        <v>1.97</v>
      </c>
      <c r="J182" s="140"/>
      <c r="K182" s="120">
        <v>215</v>
      </c>
      <c r="L182" s="83">
        <v>215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V182" s="114"/>
    </row>
    <row r="183" spans="2:22" ht="13.5">
      <c r="B183" s="139"/>
      <c r="C183" s="160" t="s">
        <v>382</v>
      </c>
      <c r="D183" s="116"/>
      <c r="E183" s="116">
        <v>13</v>
      </c>
      <c r="F183" s="116">
        <v>3</v>
      </c>
      <c r="G183" s="134">
        <v>0.005628517823639775</v>
      </c>
      <c r="H183" s="134">
        <v>0.23076923076923078</v>
      </c>
      <c r="I183" s="161">
        <v>0.16</v>
      </c>
      <c r="J183" s="140"/>
      <c r="K183" s="120">
        <v>50</v>
      </c>
      <c r="L183" s="83">
        <v>41</v>
      </c>
      <c r="M183" s="83">
        <v>0</v>
      </c>
      <c r="N183" s="83">
        <v>0</v>
      </c>
      <c r="O183" s="83">
        <v>1</v>
      </c>
      <c r="P183" s="83">
        <v>0</v>
      </c>
      <c r="Q183" s="83">
        <v>0</v>
      </c>
      <c r="R183" s="83">
        <v>1</v>
      </c>
      <c r="S183" s="83">
        <v>1</v>
      </c>
      <c r="V183" s="114"/>
    </row>
    <row r="184" spans="2:22" ht="13.5">
      <c r="B184" s="139"/>
      <c r="C184" s="160" t="s">
        <v>1200</v>
      </c>
      <c r="D184" s="116"/>
      <c r="E184" s="116">
        <v>0</v>
      </c>
      <c r="F184" s="116">
        <v>0</v>
      </c>
      <c r="G184" s="134">
        <v>0</v>
      </c>
      <c r="H184" s="134">
        <v>0</v>
      </c>
      <c r="I184" s="161">
        <v>0.52</v>
      </c>
      <c r="J184" s="140"/>
      <c r="K184" s="120">
        <v>216</v>
      </c>
      <c r="L184" s="83">
        <v>216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V184" s="114"/>
    </row>
    <row r="185" spans="2:22" ht="13.5">
      <c r="B185" s="139"/>
      <c r="C185" s="160" t="s">
        <v>1201</v>
      </c>
      <c r="D185" s="116"/>
      <c r="E185" s="116">
        <v>0</v>
      </c>
      <c r="F185" s="116">
        <v>0</v>
      </c>
      <c r="G185" s="134">
        <v>0</v>
      </c>
      <c r="H185" s="134">
        <v>0</v>
      </c>
      <c r="I185" s="161">
        <v>0.12</v>
      </c>
      <c r="J185" s="140"/>
      <c r="K185" s="120">
        <v>217</v>
      </c>
      <c r="L185" s="83">
        <v>217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V185" s="114"/>
    </row>
    <row r="186" spans="2:22" ht="13.5">
      <c r="B186" s="139"/>
      <c r="C186" s="160" t="s">
        <v>383</v>
      </c>
      <c r="D186" s="116"/>
      <c r="E186" s="116">
        <v>27</v>
      </c>
      <c r="F186" s="116">
        <v>4</v>
      </c>
      <c r="G186" s="134">
        <v>0.0075046904315197</v>
      </c>
      <c r="H186" s="134">
        <v>0.14814814814814814</v>
      </c>
      <c r="I186" s="161">
        <v>0.15</v>
      </c>
      <c r="J186" s="140"/>
      <c r="K186" s="120">
        <v>30</v>
      </c>
      <c r="L186" s="83">
        <v>35</v>
      </c>
      <c r="M186" s="83">
        <v>0</v>
      </c>
      <c r="N186" s="83">
        <v>1</v>
      </c>
      <c r="O186" s="83">
        <v>0</v>
      </c>
      <c r="P186" s="83">
        <v>0</v>
      </c>
      <c r="Q186" s="83">
        <v>0</v>
      </c>
      <c r="R186" s="83">
        <v>1</v>
      </c>
      <c r="S186" s="83">
        <v>1</v>
      </c>
      <c r="V186" s="114"/>
    </row>
    <row r="187" spans="2:22" ht="13.5">
      <c r="B187" s="139"/>
      <c r="C187" s="160" t="s">
        <v>1202</v>
      </c>
      <c r="D187" s="116"/>
      <c r="E187" s="116">
        <v>1</v>
      </c>
      <c r="F187" s="116">
        <v>0</v>
      </c>
      <c r="G187" s="134">
        <v>0</v>
      </c>
      <c r="H187" s="134">
        <v>0</v>
      </c>
      <c r="I187" s="161">
        <v>0.22</v>
      </c>
      <c r="J187" s="140"/>
      <c r="K187" s="120">
        <v>125</v>
      </c>
      <c r="L187" s="83">
        <v>129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3">
        <v>1</v>
      </c>
      <c r="S187" s="83">
        <v>0</v>
      </c>
      <c r="V187" s="114"/>
    </row>
    <row r="188" spans="2:22" ht="13.5">
      <c r="B188" s="139"/>
      <c r="C188" s="160" t="s">
        <v>1203</v>
      </c>
      <c r="D188" s="116"/>
      <c r="E188" s="116">
        <v>2</v>
      </c>
      <c r="F188" s="116">
        <v>0</v>
      </c>
      <c r="G188" s="134">
        <v>0</v>
      </c>
      <c r="H188" s="134">
        <v>0</v>
      </c>
      <c r="I188" s="161">
        <v>0.42</v>
      </c>
      <c r="J188" s="140"/>
      <c r="K188" s="120">
        <v>101</v>
      </c>
      <c r="L188" s="83">
        <v>107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3">
        <v>1</v>
      </c>
      <c r="S188" s="83">
        <v>0</v>
      </c>
      <c r="V188" s="114"/>
    </row>
    <row r="189" spans="2:22" ht="13.5">
      <c r="B189" s="139"/>
      <c r="C189" s="160" t="s">
        <v>384</v>
      </c>
      <c r="D189" s="116"/>
      <c r="E189" s="116">
        <v>100</v>
      </c>
      <c r="F189" s="116">
        <v>35</v>
      </c>
      <c r="G189" s="134">
        <v>0.06566604127579738</v>
      </c>
      <c r="H189" s="134">
        <v>0.35</v>
      </c>
      <c r="I189" s="161">
        <v>0.13</v>
      </c>
      <c r="J189" s="140"/>
      <c r="K189" s="120">
        <v>5</v>
      </c>
      <c r="L189" s="83">
        <v>3</v>
      </c>
      <c r="M189" s="83">
        <v>1</v>
      </c>
      <c r="N189" s="83">
        <v>0</v>
      </c>
      <c r="O189" s="83">
        <v>0</v>
      </c>
      <c r="P189" s="83">
        <v>0</v>
      </c>
      <c r="Q189" s="83">
        <v>0</v>
      </c>
      <c r="R189" s="83">
        <v>1</v>
      </c>
      <c r="S189" s="83">
        <v>1</v>
      </c>
      <c r="V189" s="114"/>
    </row>
    <row r="190" spans="2:22" ht="13.5">
      <c r="B190" s="139"/>
      <c r="C190" s="160" t="s">
        <v>1204</v>
      </c>
      <c r="D190" s="116"/>
      <c r="E190" s="116">
        <v>65</v>
      </c>
      <c r="F190" s="116">
        <v>19</v>
      </c>
      <c r="G190" s="134">
        <v>0.03564727954971857</v>
      </c>
      <c r="H190" s="134">
        <v>0.2923076923076923</v>
      </c>
      <c r="I190" s="161">
        <v>0.21</v>
      </c>
      <c r="J190" s="140"/>
      <c r="K190" s="120">
        <v>15</v>
      </c>
      <c r="L190" s="83">
        <v>9</v>
      </c>
      <c r="M190" s="83">
        <v>0</v>
      </c>
      <c r="N190" s="83">
        <v>0</v>
      </c>
      <c r="O190" s="83">
        <v>0</v>
      </c>
      <c r="P190" s="83">
        <v>0</v>
      </c>
      <c r="Q190" s="83">
        <v>0</v>
      </c>
      <c r="R190" s="83">
        <v>1</v>
      </c>
      <c r="S190" s="83">
        <v>1</v>
      </c>
      <c r="V190" s="114"/>
    </row>
    <row r="191" spans="2:22" ht="13.5">
      <c r="B191" s="139"/>
      <c r="C191" s="160" t="s">
        <v>385</v>
      </c>
      <c r="D191" s="116"/>
      <c r="E191" s="116">
        <v>20</v>
      </c>
      <c r="F191" s="116">
        <v>8</v>
      </c>
      <c r="G191" s="134">
        <v>0.0150093808630394</v>
      </c>
      <c r="H191" s="134">
        <v>0.4</v>
      </c>
      <c r="I191" s="161">
        <v>0.16</v>
      </c>
      <c r="J191" s="140"/>
      <c r="K191" s="120">
        <v>37</v>
      </c>
      <c r="L191" s="83">
        <v>17</v>
      </c>
      <c r="M191" s="83">
        <v>0</v>
      </c>
      <c r="N191" s="83">
        <v>0</v>
      </c>
      <c r="O191" s="83">
        <v>1</v>
      </c>
      <c r="P191" s="83">
        <v>0</v>
      </c>
      <c r="Q191" s="83">
        <v>0</v>
      </c>
      <c r="R191" s="83">
        <v>1</v>
      </c>
      <c r="S191" s="83">
        <v>1</v>
      </c>
      <c r="V191" s="114"/>
    </row>
    <row r="192" spans="2:22" ht="13.5">
      <c r="B192" s="139"/>
      <c r="C192" s="160" t="s">
        <v>1205</v>
      </c>
      <c r="D192" s="116"/>
      <c r="E192" s="116">
        <v>5</v>
      </c>
      <c r="F192" s="116">
        <v>0</v>
      </c>
      <c r="G192" s="134">
        <v>0</v>
      </c>
      <c r="H192" s="134">
        <v>0</v>
      </c>
      <c r="I192" s="161">
        <v>0.16</v>
      </c>
      <c r="J192" s="140"/>
      <c r="K192" s="120">
        <v>76</v>
      </c>
      <c r="L192" s="83">
        <v>91</v>
      </c>
      <c r="M192" s="83">
        <v>0</v>
      </c>
      <c r="N192" s="83">
        <v>0</v>
      </c>
      <c r="O192" s="83">
        <v>0</v>
      </c>
      <c r="P192" s="83">
        <v>0</v>
      </c>
      <c r="Q192" s="83">
        <v>1</v>
      </c>
      <c r="R192" s="83">
        <v>1</v>
      </c>
      <c r="S192" s="83">
        <v>0</v>
      </c>
      <c r="V192" s="114"/>
    </row>
    <row r="193" spans="2:22" ht="13.5">
      <c r="B193" s="139"/>
      <c r="C193" s="160" t="s">
        <v>1068</v>
      </c>
      <c r="D193" s="116"/>
      <c r="E193" s="116">
        <v>1</v>
      </c>
      <c r="F193" s="116">
        <v>0</v>
      </c>
      <c r="G193" s="134">
        <v>0</v>
      </c>
      <c r="H193" s="134">
        <v>0</v>
      </c>
      <c r="I193" s="161">
        <v>0.25</v>
      </c>
      <c r="J193" s="140"/>
      <c r="K193" s="120">
        <v>126</v>
      </c>
      <c r="L193" s="83">
        <v>130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3">
        <v>1</v>
      </c>
      <c r="S193" s="83">
        <v>0</v>
      </c>
      <c r="V193" s="114"/>
    </row>
    <row r="194" spans="2:22" ht="13.5">
      <c r="B194" s="139"/>
      <c r="C194" s="160" t="s">
        <v>1206</v>
      </c>
      <c r="D194" s="116"/>
      <c r="E194" s="116">
        <v>0</v>
      </c>
      <c r="F194" s="116">
        <v>0</v>
      </c>
      <c r="G194" s="134">
        <v>0</v>
      </c>
      <c r="H194" s="134">
        <v>0</v>
      </c>
      <c r="I194" s="161">
        <v>0</v>
      </c>
      <c r="J194" s="140"/>
      <c r="K194" s="120">
        <v>218</v>
      </c>
      <c r="L194" s="83">
        <v>218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3">
        <v>0</v>
      </c>
      <c r="S194" s="83">
        <v>0</v>
      </c>
      <c r="V194" s="114"/>
    </row>
    <row r="195" spans="2:22" ht="13.5">
      <c r="B195" s="139"/>
      <c r="C195" s="160" t="s">
        <v>386</v>
      </c>
      <c r="D195" s="116"/>
      <c r="E195" s="116">
        <v>39</v>
      </c>
      <c r="F195" s="116">
        <v>5</v>
      </c>
      <c r="G195" s="134">
        <v>0.009380863039399626</v>
      </c>
      <c r="H195" s="134">
        <v>0.1282051282051282</v>
      </c>
      <c r="I195" s="161">
        <v>0.16</v>
      </c>
      <c r="J195" s="140"/>
      <c r="K195" s="120">
        <v>24</v>
      </c>
      <c r="L195" s="83">
        <v>27</v>
      </c>
      <c r="M195" s="83">
        <v>0</v>
      </c>
      <c r="N195" s="83">
        <v>1</v>
      </c>
      <c r="O195" s="83">
        <v>0</v>
      </c>
      <c r="P195" s="83">
        <v>0</v>
      </c>
      <c r="Q195" s="83">
        <v>0</v>
      </c>
      <c r="R195" s="83">
        <v>1</v>
      </c>
      <c r="S195" s="83">
        <v>1</v>
      </c>
      <c r="V195" s="114"/>
    </row>
    <row r="196" spans="2:22" ht="13.5">
      <c r="B196" s="139"/>
      <c r="C196" s="160" t="s">
        <v>1207</v>
      </c>
      <c r="D196" s="116"/>
      <c r="E196" s="116">
        <v>0</v>
      </c>
      <c r="F196" s="116">
        <v>0</v>
      </c>
      <c r="G196" s="134">
        <v>0</v>
      </c>
      <c r="H196" s="134">
        <v>0</v>
      </c>
      <c r="I196" s="161">
        <v>0.29</v>
      </c>
      <c r="J196" s="140"/>
      <c r="K196" s="120">
        <v>219</v>
      </c>
      <c r="L196" s="83">
        <v>219</v>
      </c>
      <c r="M196" s="83">
        <v>0</v>
      </c>
      <c r="N196" s="83">
        <v>0</v>
      </c>
      <c r="O196" s="83">
        <v>0</v>
      </c>
      <c r="P196" s="83">
        <v>0</v>
      </c>
      <c r="Q196" s="83">
        <v>0</v>
      </c>
      <c r="R196" s="83">
        <v>0</v>
      </c>
      <c r="S196" s="83">
        <v>0</v>
      </c>
      <c r="V196" s="114"/>
    </row>
    <row r="197" spans="2:22" ht="13.5">
      <c r="B197" s="139"/>
      <c r="C197" s="160" t="s">
        <v>1208</v>
      </c>
      <c r="D197" s="116"/>
      <c r="E197" s="116">
        <v>123</v>
      </c>
      <c r="F197" s="116">
        <v>4</v>
      </c>
      <c r="G197" s="134">
        <v>0.0075046904315197</v>
      </c>
      <c r="H197" s="134">
        <v>0.032520325203252036</v>
      </c>
      <c r="I197" s="161">
        <v>0.23</v>
      </c>
      <c r="J197" s="140"/>
      <c r="K197" s="120">
        <v>4</v>
      </c>
      <c r="L197" s="83">
        <v>32</v>
      </c>
      <c r="M197" s="83">
        <v>0</v>
      </c>
      <c r="N197" s="83">
        <v>0</v>
      </c>
      <c r="O197" s="83">
        <v>0</v>
      </c>
      <c r="P197" s="83">
        <v>1</v>
      </c>
      <c r="Q197" s="83">
        <v>0</v>
      </c>
      <c r="R197" s="83">
        <v>1</v>
      </c>
      <c r="S197" s="83">
        <v>1</v>
      </c>
      <c r="V197" s="114"/>
    </row>
    <row r="198" spans="2:22" ht="13.5">
      <c r="B198" s="139"/>
      <c r="C198" s="160" t="s">
        <v>387</v>
      </c>
      <c r="D198" s="116"/>
      <c r="E198" s="116">
        <v>46</v>
      </c>
      <c r="F198" s="116">
        <v>7</v>
      </c>
      <c r="G198" s="134">
        <v>0.013133208255159476</v>
      </c>
      <c r="H198" s="134">
        <v>0.15217391304347827</v>
      </c>
      <c r="I198" s="161">
        <v>0.12</v>
      </c>
      <c r="J198" s="140"/>
      <c r="K198" s="120">
        <v>21</v>
      </c>
      <c r="L198" s="83">
        <v>20</v>
      </c>
      <c r="M198" s="83">
        <v>1</v>
      </c>
      <c r="N198" s="83">
        <v>0</v>
      </c>
      <c r="O198" s="83">
        <v>0</v>
      </c>
      <c r="P198" s="83">
        <v>0</v>
      </c>
      <c r="Q198" s="83">
        <v>0</v>
      </c>
      <c r="R198" s="83">
        <v>1</v>
      </c>
      <c r="S198" s="83">
        <v>1</v>
      </c>
      <c r="V198" s="114"/>
    </row>
    <row r="199" spans="2:22" ht="13.5">
      <c r="B199" s="139"/>
      <c r="C199" s="160" t="s">
        <v>1209</v>
      </c>
      <c r="D199" s="116"/>
      <c r="E199" s="116">
        <v>0</v>
      </c>
      <c r="F199" s="116">
        <v>0</v>
      </c>
      <c r="G199" s="134">
        <v>0</v>
      </c>
      <c r="H199" s="134">
        <v>0</v>
      </c>
      <c r="I199" s="161">
        <v>0.82</v>
      </c>
      <c r="J199" s="140"/>
      <c r="K199" s="120">
        <v>220</v>
      </c>
      <c r="L199" s="83">
        <v>220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83">
        <v>0</v>
      </c>
      <c r="S199" s="83">
        <v>0</v>
      </c>
      <c r="V199" s="114"/>
    </row>
    <row r="200" spans="2:22" ht="13.5">
      <c r="B200" s="139"/>
      <c r="C200" s="160" t="s">
        <v>1210</v>
      </c>
      <c r="D200" s="116"/>
      <c r="E200" s="116">
        <v>0</v>
      </c>
      <c r="F200" s="116">
        <v>0</v>
      </c>
      <c r="G200" s="134">
        <v>0</v>
      </c>
      <c r="H200" s="134">
        <v>0</v>
      </c>
      <c r="I200" s="161">
        <v>0.29</v>
      </c>
      <c r="J200" s="140"/>
      <c r="K200" s="120">
        <v>221</v>
      </c>
      <c r="L200" s="83">
        <v>221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3">
        <v>0</v>
      </c>
      <c r="S200" s="83">
        <v>0</v>
      </c>
      <c r="V200" s="114"/>
    </row>
    <row r="201" spans="2:22" ht="13.5">
      <c r="B201" s="139"/>
      <c r="C201" s="160" t="s">
        <v>1211</v>
      </c>
      <c r="D201" s="116"/>
      <c r="E201" s="116">
        <v>1</v>
      </c>
      <c r="F201" s="116">
        <v>6</v>
      </c>
      <c r="G201" s="134">
        <v>0.01125703564727955</v>
      </c>
      <c r="H201" s="134">
        <v>6</v>
      </c>
      <c r="I201" s="161">
        <v>0.19</v>
      </c>
      <c r="J201" s="140"/>
      <c r="K201" s="120">
        <v>127</v>
      </c>
      <c r="L201" s="83">
        <v>26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3">
        <v>1</v>
      </c>
      <c r="S201" s="83">
        <v>1</v>
      </c>
      <c r="V201" s="114"/>
    </row>
    <row r="202" spans="2:22" ht="13.5">
      <c r="B202" s="139"/>
      <c r="C202" s="160" t="s">
        <v>1069</v>
      </c>
      <c r="D202" s="116"/>
      <c r="E202" s="116">
        <v>3</v>
      </c>
      <c r="F202" s="116">
        <v>1</v>
      </c>
      <c r="G202" s="134">
        <v>0.001876172607879925</v>
      </c>
      <c r="H202" s="134">
        <v>0.3333333333333333</v>
      </c>
      <c r="I202" s="161">
        <v>0.05</v>
      </c>
      <c r="J202" s="140"/>
      <c r="K202" s="120">
        <v>92</v>
      </c>
      <c r="L202" s="83">
        <v>77</v>
      </c>
      <c r="M202" s="83">
        <v>0</v>
      </c>
      <c r="N202" s="83">
        <v>0</v>
      </c>
      <c r="O202" s="83">
        <v>0</v>
      </c>
      <c r="P202" s="83">
        <v>0</v>
      </c>
      <c r="Q202" s="83">
        <v>0</v>
      </c>
      <c r="R202" s="83">
        <v>1</v>
      </c>
      <c r="S202" s="83">
        <v>1</v>
      </c>
      <c r="V202" s="114"/>
    </row>
    <row r="203" spans="2:22" ht="13.5">
      <c r="B203" s="139"/>
      <c r="C203" s="160" t="s">
        <v>1212</v>
      </c>
      <c r="D203" s="116"/>
      <c r="E203" s="116">
        <v>56</v>
      </c>
      <c r="F203" s="116">
        <v>23</v>
      </c>
      <c r="G203" s="134">
        <v>0.043151969981238276</v>
      </c>
      <c r="H203" s="134">
        <v>0.4107142857142857</v>
      </c>
      <c r="I203" s="161">
        <v>0.18</v>
      </c>
      <c r="J203" s="140"/>
      <c r="K203" s="120">
        <v>19</v>
      </c>
      <c r="L203" s="83">
        <v>5</v>
      </c>
      <c r="M203" s="83">
        <v>0</v>
      </c>
      <c r="N203" s="83">
        <v>0</v>
      </c>
      <c r="O203" s="83">
        <v>0</v>
      </c>
      <c r="P203" s="83">
        <v>1</v>
      </c>
      <c r="Q203" s="83">
        <v>0</v>
      </c>
      <c r="R203" s="83">
        <v>1</v>
      </c>
      <c r="S203" s="83">
        <v>1</v>
      </c>
      <c r="V203" s="114"/>
    </row>
    <row r="204" spans="2:22" ht="13.5">
      <c r="B204" s="139"/>
      <c r="C204" s="160" t="s">
        <v>1213</v>
      </c>
      <c r="D204" s="116"/>
      <c r="E204" s="116">
        <v>0</v>
      </c>
      <c r="F204" s="116">
        <v>0</v>
      </c>
      <c r="G204" s="134">
        <v>0</v>
      </c>
      <c r="H204" s="134">
        <v>0</v>
      </c>
      <c r="I204" s="161">
        <v>0.39</v>
      </c>
      <c r="J204" s="140"/>
      <c r="K204" s="120">
        <v>222</v>
      </c>
      <c r="L204" s="83">
        <v>222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3">
        <v>0</v>
      </c>
      <c r="S204" s="83">
        <v>0</v>
      </c>
      <c r="V204" s="114"/>
    </row>
    <row r="205" spans="2:22" ht="13.5">
      <c r="B205" s="139"/>
      <c r="C205" s="160" t="s">
        <v>1214</v>
      </c>
      <c r="D205" s="116"/>
      <c r="E205" s="116">
        <v>0</v>
      </c>
      <c r="F205" s="116">
        <v>0</v>
      </c>
      <c r="G205" s="134">
        <v>0</v>
      </c>
      <c r="H205" s="134">
        <v>0</v>
      </c>
      <c r="I205" s="161">
        <v>0</v>
      </c>
      <c r="J205" s="140"/>
      <c r="K205" s="120">
        <v>223</v>
      </c>
      <c r="L205" s="83">
        <v>223</v>
      </c>
      <c r="M205" s="83">
        <v>0</v>
      </c>
      <c r="N205" s="83">
        <v>0</v>
      </c>
      <c r="O205" s="83">
        <v>0</v>
      </c>
      <c r="P205" s="83">
        <v>0</v>
      </c>
      <c r="Q205" s="83">
        <v>0</v>
      </c>
      <c r="R205" s="83">
        <v>0</v>
      </c>
      <c r="S205" s="83">
        <v>0</v>
      </c>
      <c r="V205" s="114"/>
    </row>
    <row r="206" spans="2:22" ht="13.5">
      <c r="B206" s="139"/>
      <c r="C206" s="160" t="s">
        <v>1215</v>
      </c>
      <c r="D206" s="116"/>
      <c r="E206" s="116">
        <v>0</v>
      </c>
      <c r="F206" s="116">
        <v>0</v>
      </c>
      <c r="G206" s="134">
        <v>0</v>
      </c>
      <c r="H206" s="134">
        <v>0</v>
      </c>
      <c r="I206" s="161">
        <v>0.32</v>
      </c>
      <c r="J206" s="140"/>
      <c r="K206" s="120">
        <v>224</v>
      </c>
      <c r="L206" s="83">
        <v>224</v>
      </c>
      <c r="M206" s="83">
        <v>0</v>
      </c>
      <c r="N206" s="83">
        <v>0</v>
      </c>
      <c r="O206" s="83">
        <v>0</v>
      </c>
      <c r="P206" s="83">
        <v>0</v>
      </c>
      <c r="Q206" s="83">
        <v>0</v>
      </c>
      <c r="R206" s="83">
        <v>0</v>
      </c>
      <c r="S206" s="83">
        <v>0</v>
      </c>
      <c r="V206" s="114"/>
    </row>
    <row r="207" spans="2:22" ht="13.5">
      <c r="B207" s="139"/>
      <c r="C207" s="160" t="s">
        <v>1216</v>
      </c>
      <c r="D207" s="116"/>
      <c r="E207" s="116">
        <v>0</v>
      </c>
      <c r="F207" s="116">
        <v>0</v>
      </c>
      <c r="G207" s="134">
        <v>0</v>
      </c>
      <c r="H207" s="134">
        <v>0</v>
      </c>
      <c r="I207" s="161">
        <v>0.19</v>
      </c>
      <c r="J207" s="140"/>
      <c r="K207" s="120">
        <v>225</v>
      </c>
      <c r="L207" s="83">
        <v>225</v>
      </c>
      <c r="M207" s="83">
        <v>0</v>
      </c>
      <c r="N207" s="83">
        <v>0</v>
      </c>
      <c r="O207" s="83">
        <v>0</v>
      </c>
      <c r="P207" s="83">
        <v>0</v>
      </c>
      <c r="Q207" s="83">
        <v>0</v>
      </c>
      <c r="R207" s="83">
        <v>0</v>
      </c>
      <c r="S207" s="83">
        <v>0</v>
      </c>
      <c r="V207" s="114"/>
    </row>
    <row r="208" spans="2:22" ht="13.5">
      <c r="B208" s="139"/>
      <c r="C208" s="160" t="s">
        <v>1217</v>
      </c>
      <c r="D208" s="116"/>
      <c r="E208" s="116">
        <v>0</v>
      </c>
      <c r="F208" s="116">
        <v>0</v>
      </c>
      <c r="G208" s="134">
        <v>0</v>
      </c>
      <c r="H208" s="134">
        <v>0</v>
      </c>
      <c r="I208" s="161">
        <v>0</v>
      </c>
      <c r="J208" s="140"/>
      <c r="K208" s="120">
        <v>226</v>
      </c>
      <c r="L208" s="83">
        <v>226</v>
      </c>
      <c r="M208" s="83">
        <v>0</v>
      </c>
      <c r="N208" s="83">
        <v>0</v>
      </c>
      <c r="O208" s="83">
        <v>0</v>
      </c>
      <c r="P208" s="83">
        <v>0</v>
      </c>
      <c r="Q208" s="83">
        <v>0</v>
      </c>
      <c r="R208" s="83">
        <v>0</v>
      </c>
      <c r="S208" s="83">
        <v>0</v>
      </c>
      <c r="V208" s="114"/>
    </row>
    <row r="209" spans="2:22" ht="13.5">
      <c r="B209" s="139"/>
      <c r="C209" s="160" t="s">
        <v>1218</v>
      </c>
      <c r="D209" s="116"/>
      <c r="E209" s="116">
        <v>3</v>
      </c>
      <c r="F209" s="116">
        <v>0</v>
      </c>
      <c r="G209" s="134">
        <v>0</v>
      </c>
      <c r="H209" s="134">
        <v>0</v>
      </c>
      <c r="I209" s="161">
        <v>0.19</v>
      </c>
      <c r="J209" s="140"/>
      <c r="K209" s="120">
        <v>93</v>
      </c>
      <c r="L209" s="83">
        <v>101</v>
      </c>
      <c r="M209" s="83">
        <v>0</v>
      </c>
      <c r="N209" s="83">
        <v>0</v>
      </c>
      <c r="O209" s="83">
        <v>1</v>
      </c>
      <c r="P209" s="83">
        <v>0</v>
      </c>
      <c r="Q209" s="83">
        <v>0</v>
      </c>
      <c r="R209" s="83">
        <v>1</v>
      </c>
      <c r="S209" s="83">
        <v>0</v>
      </c>
      <c r="V209" s="114"/>
    </row>
    <row r="210" spans="2:22" ht="13.5">
      <c r="B210" s="139"/>
      <c r="C210" s="160" t="s">
        <v>1219</v>
      </c>
      <c r="D210" s="116"/>
      <c r="E210" s="116">
        <v>0</v>
      </c>
      <c r="F210" s="116">
        <v>0</v>
      </c>
      <c r="G210" s="134">
        <v>0</v>
      </c>
      <c r="H210" s="134">
        <v>0</v>
      </c>
      <c r="I210" s="161">
        <v>0</v>
      </c>
      <c r="J210" s="140"/>
      <c r="K210" s="120">
        <v>227</v>
      </c>
      <c r="L210" s="83">
        <v>227</v>
      </c>
      <c r="M210" s="83">
        <v>0</v>
      </c>
      <c r="N210" s="83">
        <v>0</v>
      </c>
      <c r="O210" s="83">
        <v>0</v>
      </c>
      <c r="P210" s="83">
        <v>0</v>
      </c>
      <c r="Q210" s="83">
        <v>0</v>
      </c>
      <c r="R210" s="83">
        <v>0</v>
      </c>
      <c r="S210" s="83">
        <v>0</v>
      </c>
      <c r="V210" s="114"/>
    </row>
    <row r="211" spans="2:22" ht="13.5">
      <c r="B211" s="139"/>
      <c r="C211" s="160" t="s">
        <v>1220</v>
      </c>
      <c r="D211" s="116"/>
      <c r="E211" s="116">
        <v>0</v>
      </c>
      <c r="F211" s="116">
        <v>0</v>
      </c>
      <c r="G211" s="134">
        <v>0</v>
      </c>
      <c r="H211" s="134">
        <v>0</v>
      </c>
      <c r="I211" s="161">
        <v>0</v>
      </c>
      <c r="J211" s="140"/>
      <c r="K211" s="120">
        <v>228</v>
      </c>
      <c r="L211" s="83">
        <v>228</v>
      </c>
      <c r="M211" s="83">
        <v>0</v>
      </c>
      <c r="N211" s="83">
        <v>0</v>
      </c>
      <c r="O211" s="83">
        <v>0</v>
      </c>
      <c r="P211" s="83">
        <v>0</v>
      </c>
      <c r="Q211" s="83">
        <v>0</v>
      </c>
      <c r="R211" s="83">
        <v>0</v>
      </c>
      <c r="S211" s="83">
        <v>0</v>
      </c>
      <c r="V211" s="114"/>
    </row>
    <row r="212" spans="2:22" ht="13.5">
      <c r="B212" s="139"/>
      <c r="C212" s="160" t="s">
        <v>1070</v>
      </c>
      <c r="D212" s="116"/>
      <c r="E212" s="116">
        <v>10</v>
      </c>
      <c r="F212" s="116">
        <v>2</v>
      </c>
      <c r="G212" s="134">
        <v>0.00375234521575985</v>
      </c>
      <c r="H212" s="134">
        <v>0.2</v>
      </c>
      <c r="I212" s="161">
        <v>0.09</v>
      </c>
      <c r="J212" s="140"/>
      <c r="K212" s="120">
        <v>57</v>
      </c>
      <c r="L212" s="83">
        <v>52</v>
      </c>
      <c r="M212" s="83">
        <v>1</v>
      </c>
      <c r="N212" s="83">
        <v>0</v>
      </c>
      <c r="O212" s="83">
        <v>0</v>
      </c>
      <c r="P212" s="83">
        <v>0</v>
      </c>
      <c r="Q212" s="83">
        <v>0</v>
      </c>
      <c r="R212" s="83">
        <v>1</v>
      </c>
      <c r="S212" s="83">
        <v>1</v>
      </c>
      <c r="V212" s="114"/>
    </row>
    <row r="213" spans="2:22" ht="13.5">
      <c r="B213" s="139"/>
      <c r="C213" s="160" t="s">
        <v>388</v>
      </c>
      <c r="D213" s="116"/>
      <c r="E213" s="116">
        <v>7</v>
      </c>
      <c r="F213" s="116">
        <v>0</v>
      </c>
      <c r="G213" s="134">
        <v>0</v>
      </c>
      <c r="H213" s="134">
        <v>0</v>
      </c>
      <c r="I213" s="161">
        <v>0.17</v>
      </c>
      <c r="J213" s="140"/>
      <c r="K213" s="120">
        <v>66</v>
      </c>
      <c r="L213" s="83">
        <v>89</v>
      </c>
      <c r="M213" s="83">
        <v>0</v>
      </c>
      <c r="N213" s="83">
        <v>0</v>
      </c>
      <c r="O213" s="83">
        <v>1</v>
      </c>
      <c r="P213" s="83">
        <v>0</v>
      </c>
      <c r="Q213" s="83">
        <v>0</v>
      </c>
      <c r="R213" s="83">
        <v>1</v>
      </c>
      <c r="S213" s="83">
        <v>0</v>
      </c>
      <c r="V213" s="114"/>
    </row>
    <row r="214" spans="2:22" ht="13.5">
      <c r="B214" s="139"/>
      <c r="C214" s="160" t="s">
        <v>1221</v>
      </c>
      <c r="D214" s="116"/>
      <c r="E214" s="116">
        <v>0</v>
      </c>
      <c r="F214" s="116">
        <v>0</v>
      </c>
      <c r="G214" s="134">
        <v>0</v>
      </c>
      <c r="H214" s="134">
        <v>0</v>
      </c>
      <c r="I214" s="161">
        <v>0.46</v>
      </c>
      <c r="J214" s="140"/>
      <c r="K214" s="120">
        <v>229</v>
      </c>
      <c r="L214" s="83">
        <v>229</v>
      </c>
      <c r="M214" s="83">
        <v>0</v>
      </c>
      <c r="N214" s="83">
        <v>0</v>
      </c>
      <c r="O214" s="83">
        <v>0</v>
      </c>
      <c r="P214" s="83">
        <v>0</v>
      </c>
      <c r="Q214" s="83">
        <v>0</v>
      </c>
      <c r="R214" s="83">
        <v>0</v>
      </c>
      <c r="S214" s="83">
        <v>0</v>
      </c>
      <c r="V214" s="114"/>
    </row>
    <row r="215" spans="2:22" ht="13.5">
      <c r="B215" s="139"/>
      <c r="C215" s="160" t="s">
        <v>389</v>
      </c>
      <c r="D215" s="116"/>
      <c r="E215" s="116">
        <v>16</v>
      </c>
      <c r="F215" s="116">
        <v>6</v>
      </c>
      <c r="G215" s="134">
        <v>0.01125703564727955</v>
      </c>
      <c r="H215" s="134">
        <v>0.375</v>
      </c>
      <c r="I215" s="161">
        <v>0.16</v>
      </c>
      <c r="J215" s="140"/>
      <c r="K215" s="120">
        <v>45</v>
      </c>
      <c r="L215" s="83">
        <v>25</v>
      </c>
      <c r="M215" s="83">
        <v>0</v>
      </c>
      <c r="N215" s="83">
        <v>1</v>
      </c>
      <c r="O215" s="83">
        <v>0</v>
      </c>
      <c r="P215" s="83">
        <v>0</v>
      </c>
      <c r="Q215" s="83">
        <v>0</v>
      </c>
      <c r="R215" s="83">
        <v>1</v>
      </c>
      <c r="S215" s="83">
        <v>1</v>
      </c>
      <c r="V215" s="114"/>
    </row>
    <row r="216" spans="2:22" ht="13.5">
      <c r="B216" s="139"/>
      <c r="C216" s="160" t="s">
        <v>1222</v>
      </c>
      <c r="D216" s="116"/>
      <c r="E216" s="116">
        <v>1</v>
      </c>
      <c r="F216" s="116">
        <v>0</v>
      </c>
      <c r="G216" s="134">
        <v>0</v>
      </c>
      <c r="H216" s="134">
        <v>0</v>
      </c>
      <c r="I216" s="161">
        <v>0.31</v>
      </c>
      <c r="J216" s="140"/>
      <c r="K216" s="120">
        <v>128</v>
      </c>
      <c r="L216" s="83">
        <v>131</v>
      </c>
      <c r="M216" s="83">
        <v>0</v>
      </c>
      <c r="N216" s="83">
        <v>0</v>
      </c>
      <c r="O216" s="83">
        <v>0</v>
      </c>
      <c r="P216" s="83">
        <v>0</v>
      </c>
      <c r="Q216" s="83">
        <v>0</v>
      </c>
      <c r="R216" s="83">
        <v>1</v>
      </c>
      <c r="S216" s="83">
        <v>0</v>
      </c>
      <c r="V216" s="114"/>
    </row>
    <row r="217" spans="2:22" ht="13.5">
      <c r="B217" s="139"/>
      <c r="C217" s="160" t="s">
        <v>390</v>
      </c>
      <c r="D217" s="116"/>
      <c r="E217" s="116">
        <v>92</v>
      </c>
      <c r="F217" s="116">
        <v>20</v>
      </c>
      <c r="G217" s="134">
        <v>0.0375234521575985</v>
      </c>
      <c r="H217" s="134">
        <v>0.21739130434782608</v>
      </c>
      <c r="I217" s="161">
        <v>0.15</v>
      </c>
      <c r="J217" s="140"/>
      <c r="K217" s="120">
        <v>6</v>
      </c>
      <c r="L217" s="83">
        <v>8</v>
      </c>
      <c r="M217" s="83">
        <v>1</v>
      </c>
      <c r="N217" s="83">
        <v>0</v>
      </c>
      <c r="O217" s="83">
        <v>0</v>
      </c>
      <c r="P217" s="83">
        <v>0</v>
      </c>
      <c r="Q217" s="83">
        <v>0</v>
      </c>
      <c r="R217" s="83">
        <v>1</v>
      </c>
      <c r="S217" s="83">
        <v>1</v>
      </c>
      <c r="V217" s="114"/>
    </row>
    <row r="218" spans="2:22" ht="13.5">
      <c r="B218" s="139"/>
      <c r="C218" s="160" t="s">
        <v>391</v>
      </c>
      <c r="D218" s="116"/>
      <c r="E218" s="116">
        <v>163</v>
      </c>
      <c r="F218" s="116">
        <v>56</v>
      </c>
      <c r="G218" s="134">
        <v>0.1050656660412758</v>
      </c>
      <c r="H218" s="134">
        <v>0.34355828220858897</v>
      </c>
      <c r="I218" s="161">
        <v>0.15</v>
      </c>
      <c r="J218" s="140"/>
      <c r="K218" s="120">
        <v>1</v>
      </c>
      <c r="L218" s="83">
        <v>1</v>
      </c>
      <c r="M218" s="83">
        <v>0</v>
      </c>
      <c r="N218" s="83">
        <v>0</v>
      </c>
      <c r="O218" s="83">
        <v>0</v>
      </c>
      <c r="P218" s="83">
        <v>1</v>
      </c>
      <c r="Q218" s="83">
        <v>0</v>
      </c>
      <c r="R218" s="83">
        <v>1</v>
      </c>
      <c r="S218" s="83">
        <v>1</v>
      </c>
      <c r="V218" s="114"/>
    </row>
    <row r="219" spans="2:22" ht="13.5">
      <c r="B219" s="139"/>
      <c r="C219" s="160" t="s">
        <v>1223</v>
      </c>
      <c r="D219" s="116"/>
      <c r="E219" s="116">
        <v>0</v>
      </c>
      <c r="F219" s="116">
        <v>0</v>
      </c>
      <c r="G219" s="134">
        <v>0</v>
      </c>
      <c r="H219" s="134">
        <v>0</v>
      </c>
      <c r="I219" s="161">
        <v>0.19</v>
      </c>
      <c r="J219" s="140"/>
      <c r="K219" s="120">
        <v>230</v>
      </c>
      <c r="L219" s="83">
        <v>230</v>
      </c>
      <c r="M219" s="83">
        <v>0</v>
      </c>
      <c r="N219" s="83">
        <v>0</v>
      </c>
      <c r="O219" s="83">
        <v>0</v>
      </c>
      <c r="P219" s="83">
        <v>0</v>
      </c>
      <c r="Q219" s="83">
        <v>0</v>
      </c>
      <c r="R219" s="83">
        <v>0</v>
      </c>
      <c r="S219" s="83">
        <v>0</v>
      </c>
      <c r="V219" s="114"/>
    </row>
    <row r="220" spans="2:22" ht="13.5">
      <c r="B220" s="139"/>
      <c r="C220" s="160" t="s">
        <v>1224</v>
      </c>
      <c r="D220" s="116"/>
      <c r="E220" s="116">
        <v>0</v>
      </c>
      <c r="F220" s="116">
        <v>0</v>
      </c>
      <c r="G220" s="134">
        <v>0</v>
      </c>
      <c r="H220" s="134">
        <v>0</v>
      </c>
      <c r="I220" s="161">
        <v>0.3</v>
      </c>
      <c r="J220" s="140"/>
      <c r="K220" s="120">
        <v>231</v>
      </c>
      <c r="L220" s="83">
        <v>231</v>
      </c>
      <c r="M220" s="83">
        <v>0</v>
      </c>
      <c r="N220" s="83">
        <v>0</v>
      </c>
      <c r="O220" s="83">
        <v>0</v>
      </c>
      <c r="P220" s="83">
        <v>0</v>
      </c>
      <c r="Q220" s="83">
        <v>0</v>
      </c>
      <c r="R220" s="83">
        <v>0</v>
      </c>
      <c r="S220" s="83">
        <v>0</v>
      </c>
      <c r="V220" s="114"/>
    </row>
    <row r="221" spans="2:22" ht="13.5">
      <c r="B221" s="139"/>
      <c r="C221" s="160" t="s">
        <v>1225</v>
      </c>
      <c r="D221" s="116"/>
      <c r="E221" s="116">
        <v>0</v>
      </c>
      <c r="F221" s="116">
        <v>0</v>
      </c>
      <c r="G221" s="134">
        <v>0</v>
      </c>
      <c r="H221" s="134">
        <v>0</v>
      </c>
      <c r="I221" s="161">
        <v>0.13</v>
      </c>
      <c r="J221" s="140"/>
      <c r="K221" s="120">
        <v>232</v>
      </c>
      <c r="L221" s="83">
        <v>232</v>
      </c>
      <c r="M221" s="83">
        <v>0</v>
      </c>
      <c r="N221" s="83">
        <v>0</v>
      </c>
      <c r="O221" s="83">
        <v>0</v>
      </c>
      <c r="P221" s="83">
        <v>0</v>
      </c>
      <c r="Q221" s="83">
        <v>0</v>
      </c>
      <c r="R221" s="83">
        <v>0</v>
      </c>
      <c r="S221" s="83">
        <v>0</v>
      </c>
      <c r="V221" s="114"/>
    </row>
    <row r="222" spans="2:22" ht="13.5">
      <c r="B222" s="139"/>
      <c r="C222" s="160" t="s">
        <v>1226</v>
      </c>
      <c r="D222" s="116"/>
      <c r="E222" s="116">
        <v>7</v>
      </c>
      <c r="F222" s="116">
        <v>0</v>
      </c>
      <c r="G222" s="134">
        <v>0</v>
      </c>
      <c r="H222" s="134">
        <v>0</v>
      </c>
      <c r="I222" s="161">
        <v>0.14</v>
      </c>
      <c r="J222" s="140"/>
      <c r="K222" s="120">
        <v>67</v>
      </c>
      <c r="L222" s="83">
        <v>90</v>
      </c>
      <c r="M222" s="83">
        <v>0</v>
      </c>
      <c r="N222" s="83">
        <v>0</v>
      </c>
      <c r="O222" s="83">
        <v>1</v>
      </c>
      <c r="P222" s="83">
        <v>0</v>
      </c>
      <c r="Q222" s="83">
        <v>0</v>
      </c>
      <c r="R222" s="83">
        <v>1</v>
      </c>
      <c r="S222" s="83">
        <v>0</v>
      </c>
      <c r="V222" s="114"/>
    </row>
    <row r="223" spans="2:22" ht="13.5">
      <c r="B223" s="139"/>
      <c r="C223" s="160" t="s">
        <v>1227</v>
      </c>
      <c r="D223" s="116"/>
      <c r="E223" s="116">
        <v>0</v>
      </c>
      <c r="F223" s="116">
        <v>0</v>
      </c>
      <c r="G223" s="134">
        <v>0</v>
      </c>
      <c r="H223" s="134">
        <v>0</v>
      </c>
      <c r="I223" s="161">
        <v>0.48</v>
      </c>
      <c r="J223" s="140"/>
      <c r="K223" s="120">
        <v>233</v>
      </c>
      <c r="L223" s="83">
        <v>233</v>
      </c>
      <c r="M223" s="83"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V223" s="114"/>
    </row>
    <row r="224" spans="2:22" ht="13.5">
      <c r="B224" s="139"/>
      <c r="C224" s="160" t="s">
        <v>1071</v>
      </c>
      <c r="D224" s="116"/>
      <c r="E224" s="116">
        <v>0</v>
      </c>
      <c r="F224" s="116">
        <v>0</v>
      </c>
      <c r="G224" s="134">
        <v>0</v>
      </c>
      <c r="H224" s="134">
        <v>0</v>
      </c>
      <c r="I224" s="161">
        <v>0.12</v>
      </c>
      <c r="J224" s="140"/>
      <c r="K224" s="120">
        <v>234</v>
      </c>
      <c r="L224" s="83">
        <v>234</v>
      </c>
      <c r="M224" s="83">
        <v>0</v>
      </c>
      <c r="N224" s="83">
        <v>0</v>
      </c>
      <c r="O224" s="83">
        <v>0</v>
      </c>
      <c r="P224" s="83">
        <v>0</v>
      </c>
      <c r="Q224" s="83">
        <v>0</v>
      </c>
      <c r="R224" s="83">
        <v>0</v>
      </c>
      <c r="S224" s="83">
        <v>0</v>
      </c>
      <c r="V224" s="114"/>
    </row>
    <row r="225" spans="2:22" ht="13.5">
      <c r="B225" s="139"/>
      <c r="C225" s="160" t="s">
        <v>1228</v>
      </c>
      <c r="D225" s="116"/>
      <c r="E225" s="116">
        <v>0</v>
      </c>
      <c r="F225" s="116">
        <v>0</v>
      </c>
      <c r="G225" s="134">
        <v>0</v>
      </c>
      <c r="H225" s="134">
        <v>0</v>
      </c>
      <c r="I225" s="161">
        <v>0.35</v>
      </c>
      <c r="J225" s="140"/>
      <c r="K225" s="120">
        <v>235</v>
      </c>
      <c r="L225" s="83">
        <v>235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83">
        <v>0</v>
      </c>
      <c r="S225" s="83">
        <v>0</v>
      </c>
      <c r="V225" s="114"/>
    </row>
    <row r="226" spans="2:22" ht="13.5">
      <c r="B226" s="139"/>
      <c r="C226" s="160" t="s">
        <v>1229</v>
      </c>
      <c r="D226" s="116"/>
      <c r="E226" s="116">
        <v>0</v>
      </c>
      <c r="F226" s="116">
        <v>0</v>
      </c>
      <c r="G226" s="134">
        <v>0</v>
      </c>
      <c r="H226" s="134">
        <v>0</v>
      </c>
      <c r="I226" s="161">
        <v>0.37</v>
      </c>
      <c r="J226" s="140"/>
      <c r="K226" s="120">
        <v>236</v>
      </c>
      <c r="L226" s="83">
        <v>236</v>
      </c>
      <c r="M226" s="83">
        <v>0</v>
      </c>
      <c r="N226" s="83">
        <v>0</v>
      </c>
      <c r="O226" s="83">
        <v>0</v>
      </c>
      <c r="P226" s="83">
        <v>0</v>
      </c>
      <c r="Q226" s="83">
        <v>0</v>
      </c>
      <c r="R226" s="83">
        <v>0</v>
      </c>
      <c r="S226" s="83">
        <v>0</v>
      </c>
      <c r="V226" s="114"/>
    </row>
    <row r="227" spans="2:22" ht="13.5">
      <c r="B227" s="139"/>
      <c r="C227" s="160" t="s">
        <v>1230</v>
      </c>
      <c r="D227" s="116"/>
      <c r="E227" s="116">
        <v>0</v>
      </c>
      <c r="F227" s="116">
        <v>0</v>
      </c>
      <c r="G227" s="134">
        <v>0</v>
      </c>
      <c r="H227" s="134">
        <v>0</v>
      </c>
      <c r="I227" s="161">
        <v>0.44</v>
      </c>
      <c r="J227" s="140"/>
      <c r="K227" s="120">
        <v>237</v>
      </c>
      <c r="L227" s="83">
        <v>237</v>
      </c>
      <c r="M227" s="83">
        <v>0</v>
      </c>
      <c r="N227" s="83">
        <v>0</v>
      </c>
      <c r="O227" s="83">
        <v>0</v>
      </c>
      <c r="P227" s="83">
        <v>0</v>
      </c>
      <c r="Q227" s="83">
        <v>0</v>
      </c>
      <c r="R227" s="83">
        <v>0</v>
      </c>
      <c r="S227" s="83">
        <v>0</v>
      </c>
      <c r="V227" s="114"/>
    </row>
    <row r="228" spans="2:22" ht="13.5">
      <c r="B228" s="139"/>
      <c r="C228" s="160" t="s">
        <v>392</v>
      </c>
      <c r="D228" s="116"/>
      <c r="E228" s="116">
        <v>86</v>
      </c>
      <c r="F228" s="116">
        <v>15</v>
      </c>
      <c r="G228" s="134">
        <v>0.028142589118198873</v>
      </c>
      <c r="H228" s="134">
        <v>0.1744186046511628</v>
      </c>
      <c r="I228" s="161">
        <v>0.17</v>
      </c>
      <c r="J228" s="140"/>
      <c r="K228" s="120">
        <v>8</v>
      </c>
      <c r="L228" s="83">
        <v>10</v>
      </c>
      <c r="M228" s="83">
        <v>1</v>
      </c>
      <c r="N228" s="83">
        <v>0</v>
      </c>
      <c r="O228" s="83">
        <v>0</v>
      </c>
      <c r="P228" s="83">
        <v>0</v>
      </c>
      <c r="Q228" s="83">
        <v>0</v>
      </c>
      <c r="R228" s="83">
        <v>1</v>
      </c>
      <c r="S228" s="83">
        <v>1</v>
      </c>
      <c r="V228" s="114"/>
    </row>
    <row r="229" spans="2:22" ht="13.5">
      <c r="B229" s="139"/>
      <c r="C229" s="160" t="s">
        <v>1231</v>
      </c>
      <c r="D229" s="116"/>
      <c r="E229" s="116">
        <v>0</v>
      </c>
      <c r="F229" s="116">
        <v>0</v>
      </c>
      <c r="G229" s="134">
        <v>0</v>
      </c>
      <c r="H229" s="134">
        <v>0</v>
      </c>
      <c r="I229" s="161">
        <v>0.45</v>
      </c>
      <c r="J229" s="140"/>
      <c r="K229" s="120">
        <v>238</v>
      </c>
      <c r="L229" s="83">
        <v>238</v>
      </c>
      <c r="M229" s="83">
        <v>0</v>
      </c>
      <c r="N229" s="83">
        <v>0</v>
      </c>
      <c r="O229" s="83">
        <v>0</v>
      </c>
      <c r="P229" s="83">
        <v>0</v>
      </c>
      <c r="Q229" s="83">
        <v>0</v>
      </c>
      <c r="R229" s="83">
        <v>0</v>
      </c>
      <c r="S229" s="83">
        <v>0</v>
      </c>
      <c r="V229" s="114"/>
    </row>
    <row r="230" spans="2:22" ht="13.5">
      <c r="B230" s="139"/>
      <c r="C230" s="160" t="s">
        <v>1232</v>
      </c>
      <c r="D230" s="116"/>
      <c r="E230" s="116">
        <v>0</v>
      </c>
      <c r="F230" s="116">
        <v>0</v>
      </c>
      <c r="G230" s="134">
        <v>0</v>
      </c>
      <c r="H230" s="134">
        <v>0</v>
      </c>
      <c r="I230" s="161">
        <v>0.24</v>
      </c>
      <c r="J230" s="140"/>
      <c r="K230" s="120">
        <v>239</v>
      </c>
      <c r="L230" s="83">
        <v>239</v>
      </c>
      <c r="M230" s="83"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V230" s="114"/>
    </row>
    <row r="231" spans="2:22" ht="13.5">
      <c r="B231" s="139"/>
      <c r="C231" s="160" t="s">
        <v>1233</v>
      </c>
      <c r="D231" s="116"/>
      <c r="E231" s="116">
        <v>0</v>
      </c>
      <c r="F231" s="116">
        <v>0</v>
      </c>
      <c r="G231" s="134">
        <v>0</v>
      </c>
      <c r="H231" s="134">
        <v>0</v>
      </c>
      <c r="I231" s="161">
        <v>0.44</v>
      </c>
      <c r="J231" s="140"/>
      <c r="K231" s="120">
        <v>240</v>
      </c>
      <c r="L231" s="83">
        <v>240</v>
      </c>
      <c r="M231" s="83">
        <v>0</v>
      </c>
      <c r="N231" s="83">
        <v>0</v>
      </c>
      <c r="O231" s="83">
        <v>0</v>
      </c>
      <c r="P231" s="83">
        <v>0</v>
      </c>
      <c r="Q231" s="83">
        <v>0</v>
      </c>
      <c r="R231" s="83">
        <v>0</v>
      </c>
      <c r="S231" s="83">
        <v>0</v>
      </c>
      <c r="V231" s="114"/>
    </row>
    <row r="232" spans="2:22" ht="13.5">
      <c r="B232" s="139"/>
      <c r="C232" s="160" t="s">
        <v>1234</v>
      </c>
      <c r="D232" s="116"/>
      <c r="E232" s="116">
        <v>0</v>
      </c>
      <c r="F232" s="116">
        <v>0</v>
      </c>
      <c r="G232" s="134">
        <v>0</v>
      </c>
      <c r="H232" s="134">
        <v>0</v>
      </c>
      <c r="I232" s="161">
        <v>0.58</v>
      </c>
      <c r="J232" s="140"/>
      <c r="K232" s="120">
        <v>241</v>
      </c>
      <c r="L232" s="83">
        <v>241</v>
      </c>
      <c r="M232" s="83">
        <v>0</v>
      </c>
      <c r="N232" s="83">
        <v>0</v>
      </c>
      <c r="O232" s="83">
        <v>0</v>
      </c>
      <c r="P232" s="83">
        <v>0</v>
      </c>
      <c r="Q232" s="83">
        <v>0</v>
      </c>
      <c r="R232" s="83">
        <v>0</v>
      </c>
      <c r="S232" s="83">
        <v>0</v>
      </c>
      <c r="V232" s="114"/>
    </row>
    <row r="233" spans="2:22" ht="13.5">
      <c r="B233" s="139"/>
      <c r="C233" s="160" t="s">
        <v>1235</v>
      </c>
      <c r="D233" s="116"/>
      <c r="E233" s="116">
        <v>0</v>
      </c>
      <c r="F233" s="116">
        <v>0</v>
      </c>
      <c r="G233" s="134">
        <v>0</v>
      </c>
      <c r="H233" s="134">
        <v>0</v>
      </c>
      <c r="I233" s="161">
        <v>0.04</v>
      </c>
      <c r="J233" s="140"/>
      <c r="K233" s="120">
        <v>242</v>
      </c>
      <c r="L233" s="83">
        <v>242</v>
      </c>
      <c r="M233" s="83">
        <v>0</v>
      </c>
      <c r="N233" s="83">
        <v>0</v>
      </c>
      <c r="O233" s="83">
        <v>0</v>
      </c>
      <c r="P233" s="83">
        <v>0</v>
      </c>
      <c r="Q233" s="83">
        <v>0</v>
      </c>
      <c r="R233" s="83">
        <v>0</v>
      </c>
      <c r="S233" s="83">
        <v>0</v>
      </c>
      <c r="V233" s="114"/>
    </row>
    <row r="234" spans="2:22" ht="13.5">
      <c r="B234" s="139"/>
      <c r="C234" s="160" t="s">
        <v>1236</v>
      </c>
      <c r="D234" s="116"/>
      <c r="E234" s="116">
        <v>1</v>
      </c>
      <c r="F234" s="116">
        <v>0</v>
      </c>
      <c r="G234" s="134">
        <v>0</v>
      </c>
      <c r="H234" s="134">
        <v>0</v>
      </c>
      <c r="I234" s="161">
        <v>0.18</v>
      </c>
      <c r="J234" s="140"/>
      <c r="K234" s="120">
        <v>129</v>
      </c>
      <c r="L234" s="83">
        <v>132</v>
      </c>
      <c r="M234" s="83">
        <v>0</v>
      </c>
      <c r="N234" s="83">
        <v>0</v>
      </c>
      <c r="O234" s="83">
        <v>0</v>
      </c>
      <c r="P234" s="83">
        <v>0</v>
      </c>
      <c r="Q234" s="83">
        <v>0</v>
      </c>
      <c r="R234" s="83">
        <v>1</v>
      </c>
      <c r="S234" s="83">
        <v>0</v>
      </c>
      <c r="V234" s="114"/>
    </row>
    <row r="235" spans="2:22" ht="13.5">
      <c r="B235" s="139"/>
      <c r="C235" s="160" t="s">
        <v>1237</v>
      </c>
      <c r="D235" s="116"/>
      <c r="E235" s="116">
        <v>1</v>
      </c>
      <c r="F235" s="116">
        <v>1</v>
      </c>
      <c r="G235" s="134">
        <v>0.001876172607879925</v>
      </c>
      <c r="H235" s="134">
        <v>1</v>
      </c>
      <c r="I235" s="161">
        <v>0.21</v>
      </c>
      <c r="J235" s="140"/>
      <c r="K235" s="120">
        <v>130</v>
      </c>
      <c r="L235" s="83">
        <v>82</v>
      </c>
      <c r="M235" s="83">
        <v>0</v>
      </c>
      <c r="N235" s="83">
        <v>0</v>
      </c>
      <c r="O235" s="83">
        <v>0</v>
      </c>
      <c r="P235" s="83">
        <v>1</v>
      </c>
      <c r="Q235" s="83">
        <v>0</v>
      </c>
      <c r="R235" s="83">
        <v>1</v>
      </c>
      <c r="S235" s="83">
        <v>1</v>
      </c>
      <c r="V235" s="114"/>
    </row>
    <row r="236" spans="2:22" ht="13.5">
      <c r="B236" s="139"/>
      <c r="C236" s="160" t="s">
        <v>1238</v>
      </c>
      <c r="D236" s="116"/>
      <c r="E236" s="116">
        <v>10</v>
      </c>
      <c r="F236" s="116">
        <v>4</v>
      </c>
      <c r="G236" s="134">
        <v>0.0075046904315197</v>
      </c>
      <c r="H236" s="134">
        <v>0.4</v>
      </c>
      <c r="I236" s="161">
        <v>0.18</v>
      </c>
      <c r="J236" s="140"/>
      <c r="K236" s="120">
        <v>58</v>
      </c>
      <c r="L236" s="83">
        <v>37</v>
      </c>
      <c r="M236" s="83">
        <v>0</v>
      </c>
      <c r="N236" s="83">
        <v>0</v>
      </c>
      <c r="O236" s="83">
        <v>1</v>
      </c>
      <c r="P236" s="83">
        <v>0</v>
      </c>
      <c r="Q236" s="83">
        <v>0</v>
      </c>
      <c r="R236" s="83">
        <v>1</v>
      </c>
      <c r="S236" s="83">
        <v>1</v>
      </c>
      <c r="V236" s="114"/>
    </row>
    <row r="237" spans="2:22" ht="13.5">
      <c r="B237" s="139"/>
      <c r="C237" s="160" t="s">
        <v>1239</v>
      </c>
      <c r="D237" s="116"/>
      <c r="E237" s="116">
        <v>0</v>
      </c>
      <c r="F237" s="116">
        <v>0</v>
      </c>
      <c r="G237" s="134">
        <v>0</v>
      </c>
      <c r="H237" s="134">
        <v>0</v>
      </c>
      <c r="I237" s="161">
        <v>0.31</v>
      </c>
      <c r="J237" s="140"/>
      <c r="K237" s="120">
        <v>243</v>
      </c>
      <c r="L237" s="83">
        <v>243</v>
      </c>
      <c r="M237" s="83">
        <v>0</v>
      </c>
      <c r="N237" s="83">
        <v>0</v>
      </c>
      <c r="O237" s="83">
        <v>0</v>
      </c>
      <c r="P237" s="83">
        <v>0</v>
      </c>
      <c r="Q237" s="83">
        <v>1</v>
      </c>
      <c r="R237" s="83">
        <v>0</v>
      </c>
      <c r="S237" s="83">
        <v>0</v>
      </c>
      <c r="V237" s="114"/>
    </row>
    <row r="238" spans="2:22" ht="13.5">
      <c r="B238" s="139"/>
      <c r="C238" s="160" t="s">
        <v>1240</v>
      </c>
      <c r="D238" s="116"/>
      <c r="E238" s="116">
        <v>0</v>
      </c>
      <c r="F238" s="116">
        <v>0</v>
      </c>
      <c r="G238" s="134">
        <v>0</v>
      </c>
      <c r="H238" s="134">
        <v>0</v>
      </c>
      <c r="I238" s="161">
        <v>0.35</v>
      </c>
      <c r="J238" s="140"/>
      <c r="K238" s="120">
        <v>244</v>
      </c>
      <c r="L238" s="83">
        <v>244</v>
      </c>
      <c r="M238" s="83">
        <v>0</v>
      </c>
      <c r="N238" s="83">
        <v>0</v>
      </c>
      <c r="O238" s="83">
        <v>0</v>
      </c>
      <c r="P238" s="83">
        <v>0</v>
      </c>
      <c r="Q238" s="83">
        <v>0</v>
      </c>
      <c r="R238" s="83">
        <v>0</v>
      </c>
      <c r="S238" s="83">
        <v>0</v>
      </c>
      <c r="V238" s="114"/>
    </row>
    <row r="239" spans="2:22" ht="13.5">
      <c r="B239" s="139"/>
      <c r="C239" s="160" t="s">
        <v>1241</v>
      </c>
      <c r="D239" s="116"/>
      <c r="E239" s="116">
        <v>0</v>
      </c>
      <c r="F239" s="116">
        <v>0</v>
      </c>
      <c r="G239" s="134">
        <v>0</v>
      </c>
      <c r="H239" s="134">
        <v>0</v>
      </c>
      <c r="I239" s="161">
        <v>0.35</v>
      </c>
      <c r="J239" s="140"/>
      <c r="K239" s="120">
        <v>245</v>
      </c>
      <c r="L239" s="83">
        <v>245</v>
      </c>
      <c r="M239" s="83">
        <v>0</v>
      </c>
      <c r="N239" s="83">
        <v>0</v>
      </c>
      <c r="O239" s="83">
        <v>0</v>
      </c>
      <c r="P239" s="83">
        <v>0</v>
      </c>
      <c r="Q239" s="83">
        <v>0</v>
      </c>
      <c r="R239" s="83">
        <v>0</v>
      </c>
      <c r="S239" s="83">
        <v>0</v>
      </c>
      <c r="V239" s="114"/>
    </row>
    <row r="240" spans="2:22" ht="13.5">
      <c r="B240" s="139"/>
      <c r="C240" s="160" t="s">
        <v>1242</v>
      </c>
      <c r="D240" s="116"/>
      <c r="E240" s="116">
        <v>0</v>
      </c>
      <c r="F240" s="116">
        <v>0</v>
      </c>
      <c r="G240" s="134">
        <v>0</v>
      </c>
      <c r="H240" s="134">
        <v>0</v>
      </c>
      <c r="I240" s="161">
        <v>0.83</v>
      </c>
      <c r="J240" s="140"/>
      <c r="K240" s="120">
        <v>246</v>
      </c>
      <c r="L240" s="83">
        <v>246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83">
        <v>0</v>
      </c>
      <c r="S240" s="83">
        <v>0</v>
      </c>
      <c r="V240" s="114"/>
    </row>
    <row r="241" spans="2:22" ht="13.5">
      <c r="B241" s="139"/>
      <c r="C241" s="160" t="s">
        <v>1243</v>
      </c>
      <c r="D241" s="116"/>
      <c r="E241" s="116">
        <v>0</v>
      </c>
      <c r="F241" s="116">
        <v>0</v>
      </c>
      <c r="G241" s="134">
        <v>0</v>
      </c>
      <c r="H241" s="134">
        <v>0</v>
      </c>
      <c r="I241" s="161">
        <v>0.32</v>
      </c>
      <c r="J241" s="140"/>
      <c r="K241" s="120">
        <v>247</v>
      </c>
      <c r="L241" s="83">
        <v>247</v>
      </c>
      <c r="M241" s="83">
        <v>0</v>
      </c>
      <c r="N241" s="83">
        <v>0</v>
      </c>
      <c r="O241" s="83">
        <v>0</v>
      </c>
      <c r="P241" s="83">
        <v>0</v>
      </c>
      <c r="Q241" s="83">
        <v>0</v>
      </c>
      <c r="R241" s="83">
        <v>0</v>
      </c>
      <c r="S241" s="83">
        <v>0</v>
      </c>
      <c r="V241" s="114"/>
    </row>
    <row r="242" spans="2:22" ht="13.5">
      <c r="B242" s="139"/>
      <c r="C242" s="160" t="s">
        <v>1244</v>
      </c>
      <c r="D242" s="116"/>
      <c r="E242" s="116">
        <v>0</v>
      </c>
      <c r="F242" s="116">
        <v>0</v>
      </c>
      <c r="G242" s="134">
        <v>0</v>
      </c>
      <c r="H242" s="134">
        <v>0</v>
      </c>
      <c r="I242" s="161">
        <v>0.23</v>
      </c>
      <c r="J242" s="140"/>
      <c r="K242" s="120">
        <v>248</v>
      </c>
      <c r="L242" s="83">
        <v>248</v>
      </c>
      <c r="M242" s="83">
        <v>0</v>
      </c>
      <c r="N242" s="83">
        <v>0</v>
      </c>
      <c r="O242" s="83">
        <v>0</v>
      </c>
      <c r="P242" s="83">
        <v>0</v>
      </c>
      <c r="Q242" s="83">
        <v>0</v>
      </c>
      <c r="R242" s="83">
        <v>0</v>
      </c>
      <c r="S242" s="83">
        <v>0</v>
      </c>
      <c r="V242" s="114"/>
    </row>
    <row r="243" spans="2:22" ht="13.5">
      <c r="B243" s="139"/>
      <c r="C243" s="160" t="s">
        <v>1245</v>
      </c>
      <c r="D243" s="116"/>
      <c r="E243" s="116">
        <v>0</v>
      </c>
      <c r="F243" s="116">
        <v>0</v>
      </c>
      <c r="G243" s="134">
        <v>0</v>
      </c>
      <c r="H243" s="134">
        <v>0</v>
      </c>
      <c r="I243" s="161">
        <v>1.16</v>
      </c>
      <c r="J243" s="140"/>
      <c r="K243" s="120">
        <v>249</v>
      </c>
      <c r="L243" s="83">
        <v>249</v>
      </c>
      <c r="M243" s="83">
        <v>0</v>
      </c>
      <c r="N243" s="83">
        <v>0</v>
      </c>
      <c r="O243" s="83">
        <v>0</v>
      </c>
      <c r="P243" s="83">
        <v>0</v>
      </c>
      <c r="Q243" s="83">
        <v>0</v>
      </c>
      <c r="R243" s="83">
        <v>0</v>
      </c>
      <c r="S243" s="83">
        <v>0</v>
      </c>
      <c r="V243" s="114"/>
    </row>
    <row r="244" spans="2:22" ht="13.5">
      <c r="B244" s="139"/>
      <c r="C244" s="160" t="s">
        <v>393</v>
      </c>
      <c r="D244" s="116"/>
      <c r="E244" s="116">
        <v>91</v>
      </c>
      <c r="F244" s="116">
        <v>25</v>
      </c>
      <c r="G244" s="134">
        <v>0.04690431519699812</v>
      </c>
      <c r="H244" s="134">
        <v>0.27472527472527475</v>
      </c>
      <c r="I244" s="161">
        <v>0.21</v>
      </c>
      <c r="J244" s="140"/>
      <c r="K244" s="120">
        <v>7</v>
      </c>
      <c r="L244" s="83">
        <v>4</v>
      </c>
      <c r="M244" s="83">
        <v>0</v>
      </c>
      <c r="N244" s="83">
        <v>0</v>
      </c>
      <c r="O244" s="83">
        <v>0</v>
      </c>
      <c r="P244" s="83">
        <v>1</v>
      </c>
      <c r="Q244" s="83">
        <v>0</v>
      </c>
      <c r="R244" s="83">
        <v>1</v>
      </c>
      <c r="S244" s="83">
        <v>1</v>
      </c>
      <c r="V244" s="114"/>
    </row>
    <row r="245" spans="2:22" ht="13.5">
      <c r="B245" s="139"/>
      <c r="C245" s="160" t="s">
        <v>1246</v>
      </c>
      <c r="D245" s="116"/>
      <c r="E245" s="116">
        <v>0</v>
      </c>
      <c r="F245" s="116">
        <v>0</v>
      </c>
      <c r="G245" s="134">
        <v>0</v>
      </c>
      <c r="H245" s="134">
        <v>0</v>
      </c>
      <c r="I245" s="161">
        <v>0.49</v>
      </c>
      <c r="J245" s="140"/>
      <c r="K245" s="120">
        <v>250</v>
      </c>
      <c r="L245" s="83">
        <v>250</v>
      </c>
      <c r="M245" s="83">
        <v>0</v>
      </c>
      <c r="N245" s="83">
        <v>0</v>
      </c>
      <c r="O245" s="83">
        <v>0</v>
      </c>
      <c r="P245" s="83">
        <v>0</v>
      </c>
      <c r="Q245" s="83">
        <v>0</v>
      </c>
      <c r="R245" s="83">
        <v>0</v>
      </c>
      <c r="S245" s="83">
        <v>0</v>
      </c>
      <c r="V245" s="114"/>
    </row>
    <row r="246" spans="2:22" ht="13.5">
      <c r="B246" s="139"/>
      <c r="C246" s="160" t="s">
        <v>1247</v>
      </c>
      <c r="D246" s="116"/>
      <c r="E246" s="116">
        <v>0</v>
      </c>
      <c r="F246" s="116">
        <v>0</v>
      </c>
      <c r="G246" s="134">
        <v>0</v>
      </c>
      <c r="H246" s="134">
        <v>0</v>
      </c>
      <c r="I246" s="161">
        <v>0.48</v>
      </c>
      <c r="J246" s="140"/>
      <c r="K246" s="120">
        <v>251</v>
      </c>
      <c r="L246" s="83">
        <v>251</v>
      </c>
      <c r="M246" s="83">
        <v>0</v>
      </c>
      <c r="N246" s="83">
        <v>0</v>
      </c>
      <c r="O246" s="83">
        <v>0</v>
      </c>
      <c r="P246" s="83">
        <v>0</v>
      </c>
      <c r="Q246" s="83">
        <v>0</v>
      </c>
      <c r="R246" s="83">
        <v>0</v>
      </c>
      <c r="S246" s="83">
        <v>0</v>
      </c>
      <c r="V246" s="114"/>
    </row>
    <row r="247" spans="2:22" ht="13.5">
      <c r="B247" s="139"/>
      <c r="C247" s="160" t="s">
        <v>394</v>
      </c>
      <c r="D247" s="116"/>
      <c r="E247" s="116">
        <v>76</v>
      </c>
      <c r="F247" s="116">
        <v>11</v>
      </c>
      <c r="G247" s="134">
        <v>0.020637898686679174</v>
      </c>
      <c r="H247" s="134">
        <v>0.14473684210526316</v>
      </c>
      <c r="I247" s="161">
        <v>0.14</v>
      </c>
      <c r="J247" s="140"/>
      <c r="K247" s="120">
        <v>10</v>
      </c>
      <c r="L247" s="83">
        <v>13</v>
      </c>
      <c r="M247" s="83">
        <v>1</v>
      </c>
      <c r="N247" s="83">
        <v>0</v>
      </c>
      <c r="O247" s="83">
        <v>0</v>
      </c>
      <c r="P247" s="83">
        <v>0</v>
      </c>
      <c r="Q247" s="83">
        <v>0</v>
      </c>
      <c r="R247" s="83">
        <v>1</v>
      </c>
      <c r="S247" s="83">
        <v>1</v>
      </c>
      <c r="V247" s="114"/>
    </row>
    <row r="248" spans="2:22" ht="13.5">
      <c r="B248" s="139"/>
      <c r="C248" s="160" t="s">
        <v>395</v>
      </c>
      <c r="D248" s="116"/>
      <c r="E248" s="116">
        <v>60</v>
      </c>
      <c r="F248" s="116">
        <v>13</v>
      </c>
      <c r="G248" s="134">
        <v>0.024390243902439025</v>
      </c>
      <c r="H248" s="134">
        <v>0.21666666666666667</v>
      </c>
      <c r="I248" s="161">
        <v>0.18</v>
      </c>
      <c r="J248" s="140"/>
      <c r="K248" s="120">
        <v>16</v>
      </c>
      <c r="L248" s="83">
        <v>12</v>
      </c>
      <c r="M248" s="83">
        <v>0</v>
      </c>
      <c r="N248" s="83">
        <v>0</v>
      </c>
      <c r="O248" s="83">
        <v>0</v>
      </c>
      <c r="P248" s="83">
        <v>1</v>
      </c>
      <c r="Q248" s="83">
        <v>0</v>
      </c>
      <c r="R248" s="83">
        <v>1</v>
      </c>
      <c r="S248" s="83">
        <v>1</v>
      </c>
      <c r="V248" s="114"/>
    </row>
    <row r="249" spans="2:22" ht="13.5">
      <c r="B249" s="139"/>
      <c r="C249" s="160" t="s">
        <v>1248</v>
      </c>
      <c r="D249" s="116"/>
      <c r="E249" s="116">
        <v>0</v>
      </c>
      <c r="F249" s="116">
        <v>0</v>
      </c>
      <c r="G249" s="134">
        <v>0</v>
      </c>
      <c r="H249" s="134">
        <v>0</v>
      </c>
      <c r="I249" s="161">
        <v>1.69</v>
      </c>
      <c r="J249" s="140"/>
      <c r="K249" s="120">
        <v>252</v>
      </c>
      <c r="L249" s="83">
        <v>252</v>
      </c>
      <c r="M249" s="83">
        <v>0</v>
      </c>
      <c r="N249" s="83">
        <v>0</v>
      </c>
      <c r="O249" s="83">
        <v>0</v>
      </c>
      <c r="P249" s="83">
        <v>0</v>
      </c>
      <c r="Q249" s="83">
        <v>0</v>
      </c>
      <c r="R249" s="83">
        <v>0</v>
      </c>
      <c r="S249" s="83">
        <v>0</v>
      </c>
      <c r="V249" s="114"/>
    </row>
    <row r="250" spans="2:22" ht="13.5">
      <c r="B250" s="139"/>
      <c r="C250" s="160" t="s">
        <v>396</v>
      </c>
      <c r="D250" s="116"/>
      <c r="E250" s="116">
        <v>22</v>
      </c>
      <c r="F250" s="116">
        <v>1</v>
      </c>
      <c r="G250" s="134">
        <v>0.001876172607879925</v>
      </c>
      <c r="H250" s="134">
        <v>0.045454545454545456</v>
      </c>
      <c r="I250" s="161">
        <v>0.18</v>
      </c>
      <c r="J250" s="140"/>
      <c r="K250" s="120">
        <v>34</v>
      </c>
      <c r="L250" s="83">
        <v>59</v>
      </c>
      <c r="M250" s="83">
        <v>1</v>
      </c>
      <c r="N250" s="83">
        <v>0</v>
      </c>
      <c r="O250" s="83">
        <v>0</v>
      </c>
      <c r="P250" s="83">
        <v>0</v>
      </c>
      <c r="Q250" s="83">
        <v>0</v>
      </c>
      <c r="R250" s="83">
        <v>1</v>
      </c>
      <c r="S250" s="83">
        <v>1</v>
      </c>
      <c r="V250" s="114"/>
    </row>
    <row r="251" spans="2:22" ht="13.5">
      <c r="B251" s="139"/>
      <c r="C251" s="160" t="s">
        <v>397</v>
      </c>
      <c r="D251" s="116"/>
      <c r="E251" s="116">
        <v>12</v>
      </c>
      <c r="F251" s="116">
        <v>1</v>
      </c>
      <c r="G251" s="134">
        <v>0.001876172607879925</v>
      </c>
      <c r="H251" s="134">
        <v>0.08333333333333333</v>
      </c>
      <c r="I251" s="161">
        <v>0.14</v>
      </c>
      <c r="J251" s="140"/>
      <c r="K251" s="120">
        <v>56</v>
      </c>
      <c r="L251" s="83">
        <v>65</v>
      </c>
      <c r="M251" s="83">
        <v>0</v>
      </c>
      <c r="N251" s="83">
        <v>0</v>
      </c>
      <c r="O251" s="83">
        <v>0</v>
      </c>
      <c r="P251" s="83">
        <v>1</v>
      </c>
      <c r="Q251" s="83">
        <v>0</v>
      </c>
      <c r="R251" s="83">
        <v>1</v>
      </c>
      <c r="S251" s="83">
        <v>1</v>
      </c>
      <c r="V251" s="114"/>
    </row>
    <row r="252" spans="2:22" ht="13.5">
      <c r="B252" s="139"/>
      <c r="C252" s="160" t="s">
        <v>1249</v>
      </c>
      <c r="D252" s="116"/>
      <c r="E252" s="116">
        <v>6</v>
      </c>
      <c r="F252" s="116">
        <v>3</v>
      </c>
      <c r="G252" s="134">
        <v>0.005628517823639775</v>
      </c>
      <c r="H252" s="134">
        <v>0.5</v>
      </c>
      <c r="I252" s="161">
        <v>0.48</v>
      </c>
      <c r="J252" s="140"/>
      <c r="K252" s="120">
        <v>72</v>
      </c>
      <c r="L252" s="83">
        <v>47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83">
        <v>1</v>
      </c>
      <c r="S252" s="83">
        <v>1</v>
      </c>
      <c r="V252" s="114"/>
    </row>
    <row r="253" spans="2:22" ht="13.5">
      <c r="B253" s="139"/>
      <c r="C253" s="160" t="s">
        <v>1250</v>
      </c>
      <c r="D253" s="116"/>
      <c r="E253" s="116">
        <v>0</v>
      </c>
      <c r="F253" s="116">
        <v>0</v>
      </c>
      <c r="G253" s="134">
        <v>0</v>
      </c>
      <c r="H253" s="134">
        <v>0</v>
      </c>
      <c r="I253" s="161">
        <v>14</v>
      </c>
      <c r="J253" s="140"/>
      <c r="K253" s="120">
        <v>253</v>
      </c>
      <c r="L253" s="83">
        <v>253</v>
      </c>
      <c r="M253" s="83">
        <v>0</v>
      </c>
      <c r="N253" s="83">
        <v>0</v>
      </c>
      <c r="O253" s="83">
        <v>0</v>
      </c>
      <c r="P253" s="83">
        <v>0</v>
      </c>
      <c r="Q253" s="83">
        <v>0</v>
      </c>
      <c r="R253" s="83">
        <v>0</v>
      </c>
      <c r="S253" s="83">
        <v>0</v>
      </c>
      <c r="V253" s="114"/>
    </row>
    <row r="254" spans="2:22" ht="13.5">
      <c r="B254" s="139"/>
      <c r="C254" s="160" t="s">
        <v>1251</v>
      </c>
      <c r="D254" s="116"/>
      <c r="E254" s="116">
        <v>0</v>
      </c>
      <c r="F254" s="116">
        <v>0</v>
      </c>
      <c r="G254" s="134">
        <v>0</v>
      </c>
      <c r="H254" s="134">
        <v>0</v>
      </c>
      <c r="I254" s="161">
        <v>0.83</v>
      </c>
      <c r="J254" s="140"/>
      <c r="K254" s="120">
        <v>254</v>
      </c>
      <c r="L254" s="83">
        <v>254</v>
      </c>
      <c r="M254" s="83">
        <v>0</v>
      </c>
      <c r="N254" s="83">
        <v>0</v>
      </c>
      <c r="O254" s="83">
        <v>0</v>
      </c>
      <c r="P254" s="83">
        <v>0</v>
      </c>
      <c r="Q254" s="83">
        <v>0</v>
      </c>
      <c r="R254" s="83">
        <v>0</v>
      </c>
      <c r="S254" s="83">
        <v>0</v>
      </c>
      <c r="V254" s="114"/>
    </row>
    <row r="255" spans="2:22" ht="13.5">
      <c r="B255" s="139"/>
      <c r="C255" s="160" t="s">
        <v>1252</v>
      </c>
      <c r="D255" s="116"/>
      <c r="E255" s="116">
        <v>0</v>
      </c>
      <c r="F255" s="116">
        <v>0</v>
      </c>
      <c r="G255" s="134">
        <v>0</v>
      </c>
      <c r="H255" s="134">
        <v>0</v>
      </c>
      <c r="I255" s="161">
        <v>0.12</v>
      </c>
      <c r="J255" s="140"/>
      <c r="K255" s="120">
        <v>255</v>
      </c>
      <c r="L255" s="83">
        <v>255</v>
      </c>
      <c r="M255" s="83">
        <v>0</v>
      </c>
      <c r="N255" s="83">
        <v>0</v>
      </c>
      <c r="O255" s="83">
        <v>0</v>
      </c>
      <c r="P255" s="83">
        <v>0</v>
      </c>
      <c r="Q255" s="83">
        <v>0</v>
      </c>
      <c r="R255" s="83">
        <v>0</v>
      </c>
      <c r="S255" s="83">
        <v>0</v>
      </c>
      <c r="V255" s="114"/>
    </row>
    <row r="256" spans="2:22" ht="13.5">
      <c r="B256" s="139"/>
      <c r="C256" s="160" t="s">
        <v>1253</v>
      </c>
      <c r="D256" s="116"/>
      <c r="E256" s="116">
        <v>0</v>
      </c>
      <c r="F256" s="116">
        <v>0</v>
      </c>
      <c r="G256" s="134">
        <v>0</v>
      </c>
      <c r="H256" s="134">
        <v>0</v>
      </c>
      <c r="I256" s="161">
        <v>0.61</v>
      </c>
      <c r="J256" s="140"/>
      <c r="K256" s="120">
        <v>256</v>
      </c>
      <c r="L256" s="83">
        <v>256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>
        <v>0</v>
      </c>
      <c r="V256" s="114"/>
    </row>
    <row r="257" spans="2:22" ht="13.5">
      <c r="B257" s="139"/>
      <c r="C257" s="160" t="s">
        <v>1254</v>
      </c>
      <c r="D257" s="116"/>
      <c r="E257" s="116">
        <v>0</v>
      </c>
      <c r="F257" s="116">
        <v>0</v>
      </c>
      <c r="G257" s="134">
        <v>0</v>
      </c>
      <c r="H257" s="134">
        <v>0</v>
      </c>
      <c r="I257" s="161">
        <v>0.44</v>
      </c>
      <c r="J257" s="140"/>
      <c r="K257" s="120">
        <v>257</v>
      </c>
      <c r="L257" s="83">
        <v>257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  <c r="R257" s="83">
        <v>0</v>
      </c>
      <c r="S257" s="83">
        <v>0</v>
      </c>
      <c r="V257" s="114"/>
    </row>
    <row r="258" spans="2:22" ht="13.5">
      <c r="B258" s="139"/>
      <c r="C258" s="160" t="s">
        <v>1255</v>
      </c>
      <c r="D258" s="116"/>
      <c r="E258" s="116">
        <v>5</v>
      </c>
      <c r="F258" s="116">
        <v>0</v>
      </c>
      <c r="G258" s="134">
        <v>0</v>
      </c>
      <c r="H258" s="134">
        <v>0</v>
      </c>
      <c r="I258" s="161">
        <v>0.22</v>
      </c>
      <c r="J258" s="140"/>
      <c r="K258" s="120">
        <v>77</v>
      </c>
      <c r="L258" s="83">
        <v>92</v>
      </c>
      <c r="M258" s="83">
        <v>0</v>
      </c>
      <c r="N258" s="83">
        <v>0</v>
      </c>
      <c r="O258" s="83">
        <v>0</v>
      </c>
      <c r="P258" s="83">
        <v>1</v>
      </c>
      <c r="Q258" s="83">
        <v>0</v>
      </c>
      <c r="R258" s="83">
        <v>1</v>
      </c>
      <c r="S258" s="83">
        <v>0</v>
      </c>
      <c r="V258" s="114"/>
    </row>
    <row r="259" spans="2:22" ht="13.5">
      <c r="B259" s="139"/>
      <c r="C259" s="160" t="s">
        <v>1256</v>
      </c>
      <c r="D259" s="116"/>
      <c r="E259" s="116">
        <v>0</v>
      </c>
      <c r="F259" s="116">
        <v>0</v>
      </c>
      <c r="G259" s="134">
        <v>0</v>
      </c>
      <c r="H259" s="134">
        <v>0</v>
      </c>
      <c r="I259" s="161">
        <v>0.24</v>
      </c>
      <c r="J259" s="140"/>
      <c r="K259" s="120">
        <v>258</v>
      </c>
      <c r="L259" s="83">
        <v>258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83">
        <v>0</v>
      </c>
      <c r="V259" s="114"/>
    </row>
    <row r="260" spans="2:22" ht="13.5">
      <c r="B260" s="139"/>
      <c r="C260" s="160" t="s">
        <v>1257</v>
      </c>
      <c r="D260" s="116"/>
      <c r="E260" s="116">
        <v>0</v>
      </c>
      <c r="F260" s="116">
        <v>0</v>
      </c>
      <c r="G260" s="134">
        <v>0</v>
      </c>
      <c r="H260" s="134">
        <v>0</v>
      </c>
      <c r="I260" s="161">
        <v>0.34</v>
      </c>
      <c r="J260" s="140"/>
      <c r="K260" s="120">
        <v>259</v>
      </c>
      <c r="L260" s="83">
        <v>259</v>
      </c>
      <c r="M260" s="83">
        <v>0</v>
      </c>
      <c r="N260" s="83">
        <v>0</v>
      </c>
      <c r="O260" s="83">
        <v>0</v>
      </c>
      <c r="P260" s="83">
        <v>0</v>
      </c>
      <c r="Q260" s="83">
        <v>1</v>
      </c>
      <c r="R260" s="83">
        <v>0</v>
      </c>
      <c r="S260" s="83">
        <v>0</v>
      </c>
      <c r="V260" s="114"/>
    </row>
    <row r="261" spans="2:22" ht="13.5">
      <c r="B261" s="139"/>
      <c r="C261" s="160" t="s">
        <v>398</v>
      </c>
      <c r="D261" s="116"/>
      <c r="E261" s="116">
        <v>7</v>
      </c>
      <c r="F261" s="116">
        <v>1</v>
      </c>
      <c r="G261" s="134">
        <v>0.001876172607879925</v>
      </c>
      <c r="H261" s="134">
        <v>0.14285714285714285</v>
      </c>
      <c r="I261" s="161">
        <v>0.19</v>
      </c>
      <c r="J261" s="140"/>
      <c r="K261" s="120">
        <v>68</v>
      </c>
      <c r="L261" s="83">
        <v>68</v>
      </c>
      <c r="M261" s="83">
        <v>0</v>
      </c>
      <c r="N261" s="83">
        <v>0</v>
      </c>
      <c r="O261" s="83">
        <v>0</v>
      </c>
      <c r="P261" s="83">
        <v>1</v>
      </c>
      <c r="Q261" s="83">
        <v>0</v>
      </c>
      <c r="R261" s="83">
        <v>1</v>
      </c>
      <c r="S261" s="83">
        <v>1</v>
      </c>
      <c r="V261" s="114"/>
    </row>
    <row r="262" spans="2:22" ht="13.5">
      <c r="B262" s="139"/>
      <c r="C262" s="160" t="s">
        <v>1258</v>
      </c>
      <c r="D262" s="116"/>
      <c r="E262" s="116">
        <v>3</v>
      </c>
      <c r="F262" s="116">
        <v>0</v>
      </c>
      <c r="G262" s="134">
        <v>0</v>
      </c>
      <c r="H262" s="134">
        <v>0</v>
      </c>
      <c r="I262" s="161">
        <v>0.17</v>
      </c>
      <c r="J262" s="140"/>
      <c r="K262" s="120">
        <v>94</v>
      </c>
      <c r="L262" s="83">
        <v>102</v>
      </c>
      <c r="M262" s="83">
        <v>0</v>
      </c>
      <c r="N262" s="83">
        <v>0</v>
      </c>
      <c r="O262" s="83">
        <v>0</v>
      </c>
      <c r="P262" s="83">
        <v>0</v>
      </c>
      <c r="Q262" s="83">
        <v>0</v>
      </c>
      <c r="R262" s="83">
        <v>1</v>
      </c>
      <c r="S262" s="83">
        <v>0</v>
      </c>
      <c r="V262" s="114"/>
    </row>
    <row r="263" spans="2:22" ht="13.5">
      <c r="B263" s="139"/>
      <c r="C263" s="160" t="s">
        <v>1072</v>
      </c>
      <c r="D263" s="116"/>
      <c r="E263" s="116">
        <v>9</v>
      </c>
      <c r="F263" s="116">
        <v>3</v>
      </c>
      <c r="G263" s="134">
        <v>0.005628517823639775</v>
      </c>
      <c r="H263" s="134">
        <v>0.3333333333333333</v>
      </c>
      <c r="I263" s="161">
        <v>0.15</v>
      </c>
      <c r="J263" s="140"/>
      <c r="K263" s="120">
        <v>59</v>
      </c>
      <c r="L263" s="83">
        <v>44</v>
      </c>
      <c r="M263" s="83">
        <v>0</v>
      </c>
      <c r="N263" s="83">
        <v>1</v>
      </c>
      <c r="O263" s="83">
        <v>0</v>
      </c>
      <c r="P263" s="83">
        <v>0</v>
      </c>
      <c r="Q263" s="83">
        <v>0</v>
      </c>
      <c r="R263" s="83">
        <v>1</v>
      </c>
      <c r="S263" s="83">
        <v>1</v>
      </c>
      <c r="V263" s="114"/>
    </row>
    <row r="264" spans="2:22" ht="13.5">
      <c r="B264" s="139"/>
      <c r="C264" s="160" t="s">
        <v>1073</v>
      </c>
      <c r="D264" s="116"/>
      <c r="E264" s="116">
        <v>5</v>
      </c>
      <c r="F264" s="116">
        <v>0</v>
      </c>
      <c r="G264" s="134">
        <v>0</v>
      </c>
      <c r="H264" s="134">
        <v>0</v>
      </c>
      <c r="I264" s="161">
        <v>0.18</v>
      </c>
      <c r="J264" s="140"/>
      <c r="K264" s="120">
        <v>78</v>
      </c>
      <c r="L264" s="83">
        <v>93</v>
      </c>
      <c r="M264" s="83">
        <v>1</v>
      </c>
      <c r="N264" s="83">
        <v>0</v>
      </c>
      <c r="O264" s="83">
        <v>0</v>
      </c>
      <c r="P264" s="83">
        <v>0</v>
      </c>
      <c r="Q264" s="83">
        <v>0</v>
      </c>
      <c r="R264" s="83">
        <v>1</v>
      </c>
      <c r="S264" s="83">
        <v>0</v>
      </c>
      <c r="V264" s="114"/>
    </row>
    <row r="265" spans="2:22" ht="13.5">
      <c r="B265" s="139"/>
      <c r="C265" s="160" t="s">
        <v>1074</v>
      </c>
      <c r="D265" s="116"/>
      <c r="E265" s="116">
        <v>0</v>
      </c>
      <c r="F265" s="116">
        <v>0</v>
      </c>
      <c r="G265" s="134">
        <v>0</v>
      </c>
      <c r="H265" s="134">
        <v>0</v>
      </c>
      <c r="I265" s="161">
        <v>0.24</v>
      </c>
      <c r="J265" s="140"/>
      <c r="K265" s="120">
        <v>260</v>
      </c>
      <c r="L265" s="83">
        <v>260</v>
      </c>
      <c r="M265" s="83">
        <v>0</v>
      </c>
      <c r="N265" s="83">
        <v>0</v>
      </c>
      <c r="O265" s="83">
        <v>0</v>
      </c>
      <c r="P265" s="83">
        <v>0</v>
      </c>
      <c r="Q265" s="83">
        <v>1</v>
      </c>
      <c r="R265" s="83">
        <v>0</v>
      </c>
      <c r="S265" s="83">
        <v>0</v>
      </c>
      <c r="V265" s="114"/>
    </row>
    <row r="266" spans="2:22" ht="13.5">
      <c r="B266" s="139"/>
      <c r="C266" s="160" t="s">
        <v>399</v>
      </c>
      <c r="D266" s="116"/>
      <c r="E266" s="116">
        <v>15</v>
      </c>
      <c r="F266" s="116">
        <v>1</v>
      </c>
      <c r="G266" s="134">
        <v>0.001876172607879925</v>
      </c>
      <c r="H266" s="134">
        <v>0.06666666666666667</v>
      </c>
      <c r="I266" s="161">
        <v>0.14</v>
      </c>
      <c r="J266" s="140"/>
      <c r="K266" s="120">
        <v>48</v>
      </c>
      <c r="L266" s="83">
        <v>62</v>
      </c>
      <c r="M266" s="83">
        <v>0</v>
      </c>
      <c r="N266" s="83">
        <v>1</v>
      </c>
      <c r="O266" s="83">
        <v>0</v>
      </c>
      <c r="P266" s="83">
        <v>0</v>
      </c>
      <c r="Q266" s="83">
        <v>0</v>
      </c>
      <c r="R266" s="83">
        <v>1</v>
      </c>
      <c r="S266" s="83">
        <v>1</v>
      </c>
      <c r="V266" s="114"/>
    </row>
    <row r="267" spans="2:22" ht="13.5">
      <c r="B267" s="139"/>
      <c r="C267" s="160" t="s">
        <v>1075</v>
      </c>
      <c r="D267" s="116"/>
      <c r="E267" s="116">
        <v>0</v>
      </c>
      <c r="F267" s="116">
        <v>0</v>
      </c>
      <c r="G267" s="134">
        <v>0</v>
      </c>
      <c r="H267" s="134">
        <v>0</v>
      </c>
      <c r="I267" s="161">
        <v>0.09</v>
      </c>
      <c r="J267" s="140"/>
      <c r="K267" s="120">
        <v>261</v>
      </c>
      <c r="L267" s="83">
        <v>261</v>
      </c>
      <c r="M267" s="83">
        <v>0</v>
      </c>
      <c r="N267" s="83">
        <v>0</v>
      </c>
      <c r="O267" s="83">
        <v>0</v>
      </c>
      <c r="P267" s="83">
        <v>0</v>
      </c>
      <c r="Q267" s="83">
        <v>0</v>
      </c>
      <c r="R267" s="83">
        <v>0</v>
      </c>
      <c r="S267" s="83">
        <v>0</v>
      </c>
      <c r="V267" s="114"/>
    </row>
    <row r="268" spans="2:22" ht="13.5">
      <c r="B268" s="139"/>
      <c r="C268" s="160" t="s">
        <v>1259</v>
      </c>
      <c r="D268" s="116"/>
      <c r="E268" s="116">
        <v>0</v>
      </c>
      <c r="F268" s="116">
        <v>0</v>
      </c>
      <c r="G268" s="134">
        <v>0</v>
      </c>
      <c r="H268" s="134">
        <v>0</v>
      </c>
      <c r="I268" s="161">
        <v>0.18</v>
      </c>
      <c r="J268" s="140"/>
      <c r="K268" s="120">
        <v>262</v>
      </c>
      <c r="L268" s="83">
        <v>262</v>
      </c>
      <c r="M268" s="83">
        <v>0</v>
      </c>
      <c r="N268" s="83">
        <v>0</v>
      </c>
      <c r="O268" s="83">
        <v>0</v>
      </c>
      <c r="P268" s="83">
        <v>0</v>
      </c>
      <c r="Q268" s="83">
        <v>0</v>
      </c>
      <c r="R268" s="83">
        <v>0</v>
      </c>
      <c r="S268" s="83">
        <v>0</v>
      </c>
      <c r="V268" s="114"/>
    </row>
    <row r="269" spans="2:22" ht="13.5">
      <c r="B269" s="139"/>
      <c r="C269" s="160" t="s">
        <v>1260</v>
      </c>
      <c r="D269" s="116"/>
      <c r="E269" s="116">
        <v>0</v>
      </c>
      <c r="F269" s="116">
        <v>0</v>
      </c>
      <c r="G269" s="134">
        <v>0</v>
      </c>
      <c r="H269" s="134">
        <v>0</v>
      </c>
      <c r="I269" s="161">
        <v>1.39</v>
      </c>
      <c r="J269" s="140"/>
      <c r="K269" s="120">
        <v>263</v>
      </c>
      <c r="L269" s="83">
        <v>263</v>
      </c>
      <c r="M269" s="83">
        <v>0</v>
      </c>
      <c r="N269" s="83">
        <v>0</v>
      </c>
      <c r="O269" s="83">
        <v>0</v>
      </c>
      <c r="P269" s="83">
        <v>0</v>
      </c>
      <c r="Q269" s="83">
        <v>0</v>
      </c>
      <c r="R269" s="83">
        <v>0</v>
      </c>
      <c r="S269" s="83">
        <v>0</v>
      </c>
      <c r="V269" s="114"/>
    </row>
    <row r="270" spans="2:22" ht="13.5">
      <c r="B270" s="139"/>
      <c r="C270" s="160" t="s">
        <v>1261</v>
      </c>
      <c r="D270" s="116"/>
      <c r="E270" s="116">
        <v>2</v>
      </c>
      <c r="F270" s="116">
        <v>0</v>
      </c>
      <c r="G270" s="134">
        <v>0</v>
      </c>
      <c r="H270" s="134">
        <v>0</v>
      </c>
      <c r="I270" s="161">
        <v>0.19</v>
      </c>
      <c r="J270" s="140"/>
      <c r="K270" s="120">
        <v>102</v>
      </c>
      <c r="L270" s="83">
        <v>108</v>
      </c>
      <c r="M270" s="83">
        <v>0</v>
      </c>
      <c r="N270" s="83">
        <v>0</v>
      </c>
      <c r="O270" s="83">
        <v>0</v>
      </c>
      <c r="P270" s="83">
        <v>0</v>
      </c>
      <c r="Q270" s="83">
        <v>0</v>
      </c>
      <c r="R270" s="83">
        <v>1</v>
      </c>
      <c r="S270" s="83">
        <v>0</v>
      </c>
      <c r="V270" s="114"/>
    </row>
    <row r="271" spans="2:22" ht="13.5">
      <c r="B271" s="139"/>
      <c r="C271" s="160" t="s">
        <v>1262</v>
      </c>
      <c r="D271" s="116"/>
      <c r="E271" s="116">
        <v>1</v>
      </c>
      <c r="F271" s="116">
        <v>0</v>
      </c>
      <c r="G271" s="134">
        <v>0</v>
      </c>
      <c r="H271" s="134">
        <v>0</v>
      </c>
      <c r="I271" s="161">
        <v>0.29</v>
      </c>
      <c r="J271" s="140"/>
      <c r="K271" s="120">
        <v>131</v>
      </c>
      <c r="L271" s="83">
        <v>133</v>
      </c>
      <c r="M271" s="83">
        <v>0</v>
      </c>
      <c r="N271" s="83">
        <v>0</v>
      </c>
      <c r="O271" s="83">
        <v>1</v>
      </c>
      <c r="P271" s="83">
        <v>0</v>
      </c>
      <c r="Q271" s="83">
        <v>0</v>
      </c>
      <c r="R271" s="83">
        <v>1</v>
      </c>
      <c r="S271" s="83">
        <v>0</v>
      </c>
      <c r="V271" s="114"/>
    </row>
    <row r="272" spans="2:22" ht="13.5">
      <c r="B272" s="139"/>
      <c r="C272" s="160" t="s">
        <v>1076</v>
      </c>
      <c r="D272" s="116"/>
      <c r="E272" s="116">
        <v>0</v>
      </c>
      <c r="F272" s="116">
        <v>0</v>
      </c>
      <c r="G272" s="134">
        <v>0</v>
      </c>
      <c r="H272" s="134">
        <v>0</v>
      </c>
      <c r="I272" s="161">
        <v>0.07</v>
      </c>
      <c r="J272" s="140"/>
      <c r="K272" s="120">
        <v>264</v>
      </c>
      <c r="L272" s="83">
        <v>264</v>
      </c>
      <c r="M272" s="83">
        <v>0</v>
      </c>
      <c r="N272" s="83">
        <v>0</v>
      </c>
      <c r="O272" s="83">
        <v>0</v>
      </c>
      <c r="P272" s="83">
        <v>0</v>
      </c>
      <c r="Q272" s="83">
        <v>1</v>
      </c>
      <c r="R272" s="83">
        <v>0</v>
      </c>
      <c r="S272" s="83">
        <v>0</v>
      </c>
      <c r="V272" s="114"/>
    </row>
    <row r="273" spans="2:22" ht="13.5">
      <c r="B273" s="139"/>
      <c r="C273" s="160" t="s">
        <v>1263</v>
      </c>
      <c r="D273" s="116"/>
      <c r="E273" s="116">
        <v>0</v>
      </c>
      <c r="F273" s="116">
        <v>0</v>
      </c>
      <c r="G273" s="134">
        <v>0</v>
      </c>
      <c r="H273" s="134">
        <v>0</v>
      </c>
      <c r="I273" s="161">
        <v>0.79</v>
      </c>
      <c r="J273" s="140"/>
      <c r="K273" s="120">
        <v>265</v>
      </c>
      <c r="L273" s="83">
        <v>265</v>
      </c>
      <c r="M273" s="83">
        <v>0</v>
      </c>
      <c r="N273" s="83">
        <v>0</v>
      </c>
      <c r="O273" s="83">
        <v>0</v>
      </c>
      <c r="P273" s="83">
        <v>0</v>
      </c>
      <c r="Q273" s="83">
        <v>0</v>
      </c>
      <c r="R273" s="83">
        <v>0</v>
      </c>
      <c r="S273" s="83">
        <v>0</v>
      </c>
      <c r="V273" s="114"/>
    </row>
    <row r="274" spans="2:22" ht="13.5">
      <c r="B274" s="139"/>
      <c r="C274" s="160" t="s">
        <v>1077</v>
      </c>
      <c r="D274" s="116"/>
      <c r="E274" s="116">
        <v>0</v>
      </c>
      <c r="F274" s="116">
        <v>0</v>
      </c>
      <c r="G274" s="134">
        <v>0</v>
      </c>
      <c r="H274" s="134">
        <v>0</v>
      </c>
      <c r="I274" s="161">
        <v>0.28</v>
      </c>
      <c r="J274" s="140"/>
      <c r="K274" s="120">
        <v>266</v>
      </c>
      <c r="L274" s="83">
        <v>266</v>
      </c>
      <c r="M274" s="83">
        <v>0</v>
      </c>
      <c r="N274" s="83">
        <v>0</v>
      </c>
      <c r="O274" s="83">
        <v>0</v>
      </c>
      <c r="P274" s="83">
        <v>0</v>
      </c>
      <c r="Q274" s="83">
        <v>0</v>
      </c>
      <c r="R274" s="83">
        <v>0</v>
      </c>
      <c r="S274" s="83">
        <v>0</v>
      </c>
      <c r="V274" s="114"/>
    </row>
    <row r="275" spans="2:22" ht="13.5">
      <c r="B275" s="139"/>
      <c r="C275" s="160" t="s">
        <v>1264</v>
      </c>
      <c r="D275" s="116"/>
      <c r="E275" s="116">
        <v>0</v>
      </c>
      <c r="F275" s="116">
        <v>0</v>
      </c>
      <c r="G275" s="134">
        <v>0</v>
      </c>
      <c r="H275" s="134">
        <v>0</v>
      </c>
      <c r="I275" s="161">
        <v>0.34</v>
      </c>
      <c r="J275" s="140"/>
      <c r="K275" s="120">
        <v>267</v>
      </c>
      <c r="L275" s="83">
        <v>267</v>
      </c>
      <c r="M275" s="83">
        <v>0</v>
      </c>
      <c r="N275" s="83">
        <v>0</v>
      </c>
      <c r="O275" s="83">
        <v>0</v>
      </c>
      <c r="P275" s="83">
        <v>0</v>
      </c>
      <c r="Q275" s="83">
        <v>0</v>
      </c>
      <c r="R275" s="83">
        <v>0</v>
      </c>
      <c r="S275" s="83">
        <v>0</v>
      </c>
      <c r="V275" s="114"/>
    </row>
    <row r="276" spans="2:22" ht="13.5">
      <c r="B276" s="139"/>
      <c r="C276" s="160" t="s">
        <v>400</v>
      </c>
      <c r="D276" s="116"/>
      <c r="E276" s="116">
        <v>3</v>
      </c>
      <c r="F276" s="116">
        <v>0</v>
      </c>
      <c r="G276" s="134">
        <v>0</v>
      </c>
      <c r="H276" s="134">
        <v>0</v>
      </c>
      <c r="I276" s="161">
        <v>0.17</v>
      </c>
      <c r="J276" s="140"/>
      <c r="K276" s="120">
        <v>95</v>
      </c>
      <c r="L276" s="83">
        <v>103</v>
      </c>
      <c r="M276" s="83">
        <v>0</v>
      </c>
      <c r="N276" s="83">
        <v>1</v>
      </c>
      <c r="O276" s="83">
        <v>0</v>
      </c>
      <c r="P276" s="83">
        <v>0</v>
      </c>
      <c r="Q276" s="83">
        <v>0</v>
      </c>
      <c r="R276" s="83">
        <v>1</v>
      </c>
      <c r="S276" s="83">
        <v>0</v>
      </c>
      <c r="V276" s="114"/>
    </row>
    <row r="277" spans="2:22" ht="13.5">
      <c r="B277" s="139"/>
      <c r="C277" s="160" t="s">
        <v>1265</v>
      </c>
      <c r="D277" s="116"/>
      <c r="E277" s="116">
        <v>0</v>
      </c>
      <c r="F277" s="116">
        <v>0</v>
      </c>
      <c r="G277" s="134">
        <v>0</v>
      </c>
      <c r="H277" s="134">
        <v>0</v>
      </c>
      <c r="I277" s="161">
        <v>0.18</v>
      </c>
      <c r="J277" s="140"/>
      <c r="K277" s="120">
        <v>268</v>
      </c>
      <c r="L277" s="83">
        <v>268</v>
      </c>
      <c r="M277" s="83">
        <v>0</v>
      </c>
      <c r="N277" s="83">
        <v>0</v>
      </c>
      <c r="O277" s="83">
        <v>0</v>
      </c>
      <c r="P277" s="83">
        <v>0</v>
      </c>
      <c r="Q277" s="83">
        <v>0</v>
      </c>
      <c r="R277" s="83">
        <v>0</v>
      </c>
      <c r="S277" s="83">
        <v>0</v>
      </c>
      <c r="V277" s="114"/>
    </row>
    <row r="278" spans="2:22" ht="13.5">
      <c r="B278" s="139"/>
      <c r="C278" s="160" t="s">
        <v>1078</v>
      </c>
      <c r="D278" s="116"/>
      <c r="E278" s="116">
        <v>0</v>
      </c>
      <c r="F278" s="116">
        <v>0</v>
      </c>
      <c r="G278" s="134">
        <v>0</v>
      </c>
      <c r="H278" s="134">
        <v>0</v>
      </c>
      <c r="I278" s="161">
        <v>0.14</v>
      </c>
      <c r="J278" s="140"/>
      <c r="K278" s="120">
        <v>269</v>
      </c>
      <c r="L278" s="83">
        <v>269</v>
      </c>
      <c r="M278" s="83">
        <v>0</v>
      </c>
      <c r="N278" s="83">
        <v>0</v>
      </c>
      <c r="O278" s="83">
        <v>0</v>
      </c>
      <c r="P278" s="83">
        <v>0</v>
      </c>
      <c r="Q278" s="83">
        <v>0</v>
      </c>
      <c r="R278" s="83">
        <v>0</v>
      </c>
      <c r="S278" s="83">
        <v>0</v>
      </c>
      <c r="V278" s="114"/>
    </row>
    <row r="279" spans="2:22" ht="13.5">
      <c r="B279" s="139"/>
      <c r="C279" s="160" t="s">
        <v>1266</v>
      </c>
      <c r="D279" s="116"/>
      <c r="E279" s="116">
        <v>0</v>
      </c>
      <c r="F279" s="116">
        <v>0</v>
      </c>
      <c r="G279" s="134">
        <v>0</v>
      </c>
      <c r="H279" s="134">
        <v>0</v>
      </c>
      <c r="I279" s="161">
        <v>0.07</v>
      </c>
      <c r="J279" s="140"/>
      <c r="K279" s="120">
        <v>270</v>
      </c>
      <c r="L279" s="83">
        <v>270</v>
      </c>
      <c r="M279" s="83">
        <v>0</v>
      </c>
      <c r="N279" s="83">
        <v>0</v>
      </c>
      <c r="O279" s="83">
        <v>0</v>
      </c>
      <c r="P279" s="83">
        <v>0</v>
      </c>
      <c r="Q279" s="83">
        <v>0</v>
      </c>
      <c r="R279" s="83">
        <v>0</v>
      </c>
      <c r="S279" s="83">
        <v>0</v>
      </c>
      <c r="V279" s="114"/>
    </row>
    <row r="280" spans="2:22" ht="13.5">
      <c r="B280" s="139"/>
      <c r="C280" s="160" t="s">
        <v>1267</v>
      </c>
      <c r="D280" s="116"/>
      <c r="E280" s="116">
        <v>0</v>
      </c>
      <c r="F280" s="116">
        <v>0</v>
      </c>
      <c r="G280" s="134">
        <v>0</v>
      </c>
      <c r="H280" s="134">
        <v>0</v>
      </c>
      <c r="I280" s="161">
        <v>0.28</v>
      </c>
      <c r="J280" s="140"/>
      <c r="K280" s="120">
        <v>271</v>
      </c>
      <c r="L280" s="83">
        <v>271</v>
      </c>
      <c r="M280" s="83">
        <v>0</v>
      </c>
      <c r="N280" s="83">
        <v>0</v>
      </c>
      <c r="O280" s="83">
        <v>0</v>
      </c>
      <c r="P280" s="83">
        <v>0</v>
      </c>
      <c r="Q280" s="83">
        <v>0</v>
      </c>
      <c r="R280" s="83">
        <v>0</v>
      </c>
      <c r="S280" s="83">
        <v>0</v>
      </c>
      <c r="V280" s="114"/>
    </row>
    <row r="281" spans="2:22" ht="13.5">
      <c r="B281" s="139"/>
      <c r="C281" s="160" t="s">
        <v>1079</v>
      </c>
      <c r="D281" s="116"/>
      <c r="E281" s="116">
        <v>32</v>
      </c>
      <c r="F281" s="116">
        <v>6</v>
      </c>
      <c r="G281" s="134">
        <v>0.01125703564727955</v>
      </c>
      <c r="H281" s="134">
        <v>0.1875</v>
      </c>
      <c r="I281" s="161">
        <v>0.19</v>
      </c>
      <c r="J281" s="140"/>
      <c r="K281" s="120">
        <v>25</v>
      </c>
      <c r="L281" s="83">
        <v>23</v>
      </c>
      <c r="M281" s="83">
        <v>0</v>
      </c>
      <c r="N281" s="83">
        <v>0</v>
      </c>
      <c r="O281" s="83">
        <v>0</v>
      </c>
      <c r="P281" s="83">
        <v>1</v>
      </c>
      <c r="Q281" s="83">
        <v>0</v>
      </c>
      <c r="R281" s="83">
        <v>1</v>
      </c>
      <c r="S281" s="83">
        <v>1</v>
      </c>
      <c r="V281" s="114"/>
    </row>
    <row r="282" spans="2:22" ht="13.5">
      <c r="B282" s="139"/>
      <c r="C282" s="160" t="s">
        <v>1268</v>
      </c>
      <c r="D282" s="116"/>
      <c r="E282" s="116">
        <v>1</v>
      </c>
      <c r="F282" s="116">
        <v>0</v>
      </c>
      <c r="G282" s="134">
        <v>0</v>
      </c>
      <c r="H282" s="134">
        <v>0</v>
      </c>
      <c r="I282" s="161">
        <v>0.27</v>
      </c>
      <c r="J282" s="140"/>
      <c r="K282" s="120">
        <v>132</v>
      </c>
      <c r="L282" s="83">
        <v>134</v>
      </c>
      <c r="M282" s="83">
        <v>0</v>
      </c>
      <c r="N282" s="83">
        <v>0</v>
      </c>
      <c r="O282" s="83">
        <v>0</v>
      </c>
      <c r="P282" s="83">
        <v>0</v>
      </c>
      <c r="Q282" s="83">
        <v>0</v>
      </c>
      <c r="R282" s="83">
        <v>1</v>
      </c>
      <c r="S282" s="83">
        <v>0</v>
      </c>
      <c r="V282" s="114"/>
    </row>
    <row r="283" spans="2:22" ht="13.5">
      <c r="B283" s="139"/>
      <c r="C283" s="160" t="s">
        <v>1269</v>
      </c>
      <c r="D283" s="116"/>
      <c r="E283" s="116">
        <v>0</v>
      </c>
      <c r="F283" s="116">
        <v>0</v>
      </c>
      <c r="G283" s="134">
        <v>0</v>
      </c>
      <c r="H283" s="134">
        <v>0</v>
      </c>
      <c r="I283" s="161">
        <v>13</v>
      </c>
      <c r="J283" s="140"/>
      <c r="K283" s="120">
        <v>272</v>
      </c>
      <c r="L283" s="83">
        <v>272</v>
      </c>
      <c r="M283" s="83">
        <v>0</v>
      </c>
      <c r="N283" s="83">
        <v>0</v>
      </c>
      <c r="O283" s="83">
        <v>0</v>
      </c>
      <c r="P283" s="83">
        <v>0</v>
      </c>
      <c r="Q283" s="83">
        <v>0</v>
      </c>
      <c r="R283" s="83">
        <v>0</v>
      </c>
      <c r="S283" s="83">
        <v>0</v>
      </c>
      <c r="V283" s="114"/>
    </row>
    <row r="284" spans="2:22" ht="13.5">
      <c r="B284" s="139"/>
      <c r="C284" s="160" t="s">
        <v>1080</v>
      </c>
      <c r="D284" s="116"/>
      <c r="E284" s="116">
        <v>0</v>
      </c>
      <c r="F284" s="116">
        <v>0</v>
      </c>
      <c r="G284" s="134">
        <v>0</v>
      </c>
      <c r="H284" s="134">
        <v>0</v>
      </c>
      <c r="I284" s="161">
        <v>0.23</v>
      </c>
      <c r="J284" s="140"/>
      <c r="K284" s="120">
        <v>273</v>
      </c>
      <c r="L284" s="83">
        <v>273</v>
      </c>
      <c r="M284" s="83">
        <v>0</v>
      </c>
      <c r="N284" s="83">
        <v>1</v>
      </c>
      <c r="O284" s="83">
        <v>0</v>
      </c>
      <c r="P284" s="83">
        <v>0</v>
      </c>
      <c r="Q284" s="83">
        <v>0</v>
      </c>
      <c r="R284" s="83">
        <v>0</v>
      </c>
      <c r="S284" s="83">
        <v>0</v>
      </c>
      <c r="V284" s="114"/>
    </row>
    <row r="285" spans="2:22" ht="13.5">
      <c r="B285" s="139"/>
      <c r="C285" s="160" t="s">
        <v>1270</v>
      </c>
      <c r="D285" s="116"/>
      <c r="E285" s="116">
        <v>2</v>
      </c>
      <c r="F285" s="116">
        <v>0</v>
      </c>
      <c r="G285" s="134">
        <v>0</v>
      </c>
      <c r="H285" s="134">
        <v>0</v>
      </c>
      <c r="I285" s="161">
        <v>0</v>
      </c>
      <c r="J285" s="140"/>
      <c r="K285" s="120">
        <v>103</v>
      </c>
      <c r="L285" s="83">
        <v>109</v>
      </c>
      <c r="M285" s="83">
        <v>0</v>
      </c>
      <c r="N285" s="83">
        <v>0</v>
      </c>
      <c r="O285" s="83">
        <v>0</v>
      </c>
      <c r="P285" s="83">
        <v>0</v>
      </c>
      <c r="Q285" s="83">
        <v>0</v>
      </c>
      <c r="R285" s="83">
        <v>1</v>
      </c>
      <c r="S285" s="83">
        <v>0</v>
      </c>
      <c r="V285" s="114"/>
    </row>
    <row r="286" spans="2:22" ht="13.5">
      <c r="B286" s="139"/>
      <c r="C286" s="160" t="s">
        <v>401</v>
      </c>
      <c r="D286" s="116"/>
      <c r="E286" s="116">
        <v>71</v>
      </c>
      <c r="F286" s="116">
        <v>8</v>
      </c>
      <c r="G286" s="134">
        <v>0.0150093808630394</v>
      </c>
      <c r="H286" s="134">
        <v>0.11267605633802817</v>
      </c>
      <c r="I286" s="161">
        <v>0.15</v>
      </c>
      <c r="J286" s="140"/>
      <c r="K286" s="120">
        <v>11</v>
      </c>
      <c r="L286" s="83">
        <v>16</v>
      </c>
      <c r="M286" s="83">
        <v>1</v>
      </c>
      <c r="N286" s="83">
        <v>0</v>
      </c>
      <c r="O286" s="83">
        <v>0</v>
      </c>
      <c r="P286" s="83">
        <v>0</v>
      </c>
      <c r="Q286" s="83">
        <v>0</v>
      </c>
      <c r="R286" s="83">
        <v>1</v>
      </c>
      <c r="S286" s="83">
        <v>1</v>
      </c>
      <c r="V286" s="114"/>
    </row>
    <row r="287" spans="2:22" ht="13.5">
      <c r="B287" s="139"/>
      <c r="C287" s="160" t="s">
        <v>1271</v>
      </c>
      <c r="D287" s="116"/>
      <c r="E287" s="116">
        <v>0</v>
      </c>
      <c r="F287" s="116">
        <v>0</v>
      </c>
      <c r="G287" s="134">
        <v>0</v>
      </c>
      <c r="H287" s="134">
        <v>0</v>
      </c>
      <c r="I287" s="161">
        <v>33.67</v>
      </c>
      <c r="J287" s="140"/>
      <c r="K287" s="120">
        <v>274</v>
      </c>
      <c r="L287" s="83">
        <v>274</v>
      </c>
      <c r="M287" s="83">
        <v>0</v>
      </c>
      <c r="N287" s="83">
        <v>0</v>
      </c>
      <c r="O287" s="83">
        <v>0</v>
      </c>
      <c r="P287" s="83">
        <v>0</v>
      </c>
      <c r="Q287" s="83">
        <v>0</v>
      </c>
      <c r="R287" s="83">
        <v>0</v>
      </c>
      <c r="S287" s="83">
        <v>0</v>
      </c>
      <c r="V287" s="114"/>
    </row>
    <row r="288" spans="2:22" ht="13.5">
      <c r="B288" s="139"/>
      <c r="C288" s="160" t="s">
        <v>402</v>
      </c>
      <c r="D288" s="116"/>
      <c r="E288" s="116">
        <v>149</v>
      </c>
      <c r="F288" s="116">
        <v>20</v>
      </c>
      <c r="G288" s="134">
        <v>0.0375234521575985</v>
      </c>
      <c r="H288" s="134">
        <v>0.1342281879194631</v>
      </c>
      <c r="I288" s="161">
        <v>0.18</v>
      </c>
      <c r="J288" s="140"/>
      <c r="K288" s="120">
        <v>2</v>
      </c>
      <c r="L288" s="83">
        <v>7</v>
      </c>
      <c r="M288" s="83">
        <v>0</v>
      </c>
      <c r="N288" s="83">
        <v>0</v>
      </c>
      <c r="O288" s="83">
        <v>0</v>
      </c>
      <c r="P288" s="83">
        <v>1</v>
      </c>
      <c r="Q288" s="83">
        <v>0</v>
      </c>
      <c r="R288" s="83">
        <v>1</v>
      </c>
      <c r="S288" s="83">
        <v>1</v>
      </c>
      <c r="V288" s="114"/>
    </row>
    <row r="289" spans="2:22" ht="13.5">
      <c r="B289" s="139"/>
      <c r="C289" s="160" t="s">
        <v>1272</v>
      </c>
      <c r="D289" s="116"/>
      <c r="E289" s="116">
        <v>0</v>
      </c>
      <c r="F289" s="116">
        <v>0</v>
      </c>
      <c r="G289" s="134">
        <v>0</v>
      </c>
      <c r="H289" s="134">
        <v>0</v>
      </c>
      <c r="I289" s="161">
        <v>0.31</v>
      </c>
      <c r="J289" s="140"/>
      <c r="K289" s="120">
        <v>275</v>
      </c>
      <c r="L289" s="83">
        <v>275</v>
      </c>
      <c r="M289" s="83">
        <v>0</v>
      </c>
      <c r="N289" s="83">
        <v>0</v>
      </c>
      <c r="O289" s="83">
        <v>0</v>
      </c>
      <c r="P289" s="83">
        <v>0</v>
      </c>
      <c r="Q289" s="83">
        <v>0</v>
      </c>
      <c r="R289" s="83">
        <v>0</v>
      </c>
      <c r="S289" s="83">
        <v>0</v>
      </c>
      <c r="V289" s="114"/>
    </row>
    <row r="290" spans="2:22" ht="13.5">
      <c r="B290" s="139"/>
      <c r="C290" s="160" t="s">
        <v>1273</v>
      </c>
      <c r="D290" s="116"/>
      <c r="E290" s="116">
        <v>0</v>
      </c>
      <c r="F290" s="116">
        <v>0</v>
      </c>
      <c r="G290" s="134">
        <v>0</v>
      </c>
      <c r="H290" s="134">
        <v>0</v>
      </c>
      <c r="I290" s="161">
        <v>0.5</v>
      </c>
      <c r="J290" s="140"/>
      <c r="K290" s="120">
        <v>276</v>
      </c>
      <c r="L290" s="83">
        <v>276</v>
      </c>
      <c r="M290" s="83">
        <v>0</v>
      </c>
      <c r="N290" s="83">
        <v>0</v>
      </c>
      <c r="O290" s="83">
        <v>0</v>
      </c>
      <c r="P290" s="83">
        <v>0</v>
      </c>
      <c r="Q290" s="83">
        <v>0</v>
      </c>
      <c r="R290" s="83">
        <v>0</v>
      </c>
      <c r="S290" s="83">
        <v>0</v>
      </c>
      <c r="V290" s="114"/>
    </row>
    <row r="291" spans="2:22" ht="13.5">
      <c r="B291" s="139"/>
      <c r="C291" s="160" t="s">
        <v>403</v>
      </c>
      <c r="D291" s="116"/>
      <c r="E291" s="116">
        <v>8</v>
      </c>
      <c r="F291" s="116">
        <v>0</v>
      </c>
      <c r="G291" s="134">
        <v>0</v>
      </c>
      <c r="H291" s="134">
        <v>0</v>
      </c>
      <c r="I291" s="161">
        <v>0.13</v>
      </c>
      <c r="J291" s="140"/>
      <c r="K291" s="120">
        <v>65</v>
      </c>
      <c r="L291" s="83">
        <v>88</v>
      </c>
      <c r="M291" s="83">
        <v>1</v>
      </c>
      <c r="N291" s="83">
        <v>0</v>
      </c>
      <c r="O291" s="83">
        <v>0</v>
      </c>
      <c r="P291" s="83">
        <v>0</v>
      </c>
      <c r="Q291" s="83">
        <v>0</v>
      </c>
      <c r="R291" s="83">
        <v>1</v>
      </c>
      <c r="S291" s="83">
        <v>0</v>
      </c>
      <c r="V291" s="114"/>
    </row>
    <row r="292" spans="2:22" ht="13.5">
      <c r="B292" s="139"/>
      <c r="C292" s="160" t="s">
        <v>1274</v>
      </c>
      <c r="D292" s="116"/>
      <c r="E292" s="116">
        <v>0</v>
      </c>
      <c r="F292" s="116">
        <v>0</v>
      </c>
      <c r="G292" s="134">
        <v>0</v>
      </c>
      <c r="H292" s="134">
        <v>0</v>
      </c>
      <c r="I292" s="161">
        <v>0.31</v>
      </c>
      <c r="J292" s="140"/>
      <c r="K292" s="120">
        <v>277</v>
      </c>
      <c r="L292" s="83">
        <v>277</v>
      </c>
      <c r="M292" s="83">
        <v>0</v>
      </c>
      <c r="N292" s="83">
        <v>0</v>
      </c>
      <c r="O292" s="83">
        <v>0</v>
      </c>
      <c r="P292" s="83">
        <v>0</v>
      </c>
      <c r="Q292" s="83">
        <v>0</v>
      </c>
      <c r="R292" s="83">
        <v>0</v>
      </c>
      <c r="S292" s="83">
        <v>0</v>
      </c>
      <c r="V292" s="114"/>
    </row>
    <row r="293" spans="2:22" ht="13.5">
      <c r="B293" s="139"/>
      <c r="C293" s="160" t="s">
        <v>1081</v>
      </c>
      <c r="D293" s="116"/>
      <c r="E293" s="116">
        <v>4</v>
      </c>
      <c r="F293" s="116">
        <v>2</v>
      </c>
      <c r="G293" s="134">
        <v>0.00375234521575985</v>
      </c>
      <c r="H293" s="134">
        <v>0.5</v>
      </c>
      <c r="I293" s="161">
        <v>0.27</v>
      </c>
      <c r="J293" s="140"/>
      <c r="K293" s="120">
        <v>83</v>
      </c>
      <c r="L293" s="83">
        <v>55</v>
      </c>
      <c r="M293" s="83">
        <v>0</v>
      </c>
      <c r="N293" s="83">
        <v>0</v>
      </c>
      <c r="O293" s="83">
        <v>1</v>
      </c>
      <c r="P293" s="83">
        <v>0</v>
      </c>
      <c r="Q293" s="83">
        <v>0</v>
      </c>
      <c r="R293" s="83">
        <v>1</v>
      </c>
      <c r="S293" s="83">
        <v>1</v>
      </c>
      <c r="V293" s="114"/>
    </row>
    <row r="294" spans="2:22" ht="13.5">
      <c r="B294" s="139"/>
      <c r="C294" s="160" t="s">
        <v>1275</v>
      </c>
      <c r="D294" s="116"/>
      <c r="E294" s="116">
        <v>0</v>
      </c>
      <c r="F294" s="116">
        <v>0</v>
      </c>
      <c r="G294" s="134">
        <v>0</v>
      </c>
      <c r="H294" s="134">
        <v>0</v>
      </c>
      <c r="I294" s="161">
        <v>0.17</v>
      </c>
      <c r="J294" s="140"/>
      <c r="K294" s="120">
        <v>278</v>
      </c>
      <c r="L294" s="83">
        <v>278</v>
      </c>
      <c r="M294" s="83">
        <v>0</v>
      </c>
      <c r="N294" s="83">
        <v>0</v>
      </c>
      <c r="O294" s="83">
        <v>0</v>
      </c>
      <c r="P294" s="83">
        <v>0</v>
      </c>
      <c r="Q294" s="83">
        <v>0</v>
      </c>
      <c r="R294" s="83">
        <v>0</v>
      </c>
      <c r="S294" s="83">
        <v>0</v>
      </c>
      <c r="V294" s="114"/>
    </row>
    <row r="295" spans="2:22" ht="13.5">
      <c r="B295" s="139"/>
      <c r="C295" s="160" t="s">
        <v>1276</v>
      </c>
      <c r="D295" s="116"/>
      <c r="E295" s="116">
        <v>0</v>
      </c>
      <c r="F295" s="116">
        <v>0</v>
      </c>
      <c r="G295" s="134">
        <v>0</v>
      </c>
      <c r="H295" s="134">
        <v>0</v>
      </c>
      <c r="I295" s="161">
        <v>0.42</v>
      </c>
      <c r="J295" s="140"/>
      <c r="K295" s="120">
        <v>279</v>
      </c>
      <c r="L295" s="83">
        <v>279</v>
      </c>
      <c r="M295" s="83">
        <v>0</v>
      </c>
      <c r="N295" s="83">
        <v>0</v>
      </c>
      <c r="O295" s="83">
        <v>0</v>
      </c>
      <c r="P295" s="83">
        <v>0</v>
      </c>
      <c r="Q295" s="83">
        <v>0</v>
      </c>
      <c r="R295" s="83">
        <v>0</v>
      </c>
      <c r="S295" s="83">
        <v>0</v>
      </c>
      <c r="V295" s="114"/>
    </row>
    <row r="296" spans="2:22" ht="13.5">
      <c r="B296" s="139"/>
      <c r="C296" s="160" t="s">
        <v>1277</v>
      </c>
      <c r="D296" s="116"/>
      <c r="E296" s="116">
        <v>0</v>
      </c>
      <c r="F296" s="116">
        <v>0</v>
      </c>
      <c r="G296" s="134">
        <v>0</v>
      </c>
      <c r="H296" s="134">
        <v>0</v>
      </c>
      <c r="I296" s="161">
        <v>0.5</v>
      </c>
      <c r="J296" s="140"/>
      <c r="K296" s="120">
        <v>280</v>
      </c>
      <c r="L296" s="83">
        <v>280</v>
      </c>
      <c r="M296" s="83">
        <v>0</v>
      </c>
      <c r="N296" s="83">
        <v>0</v>
      </c>
      <c r="O296" s="83">
        <v>0</v>
      </c>
      <c r="P296" s="83">
        <v>0</v>
      </c>
      <c r="Q296" s="83">
        <v>0</v>
      </c>
      <c r="R296" s="83">
        <v>0</v>
      </c>
      <c r="S296" s="83">
        <v>0</v>
      </c>
      <c r="V296" s="114"/>
    </row>
    <row r="297" spans="2:22" ht="13.5">
      <c r="B297" s="139"/>
      <c r="C297" s="160" t="s">
        <v>404</v>
      </c>
      <c r="D297" s="116"/>
      <c r="E297" s="116">
        <v>9</v>
      </c>
      <c r="F297" s="116">
        <v>0</v>
      </c>
      <c r="G297" s="134">
        <v>0</v>
      </c>
      <c r="H297" s="134">
        <v>0</v>
      </c>
      <c r="I297" s="161">
        <v>0.12</v>
      </c>
      <c r="J297" s="140"/>
      <c r="K297" s="120">
        <v>60</v>
      </c>
      <c r="L297" s="83">
        <v>87</v>
      </c>
      <c r="M297" s="83">
        <v>0</v>
      </c>
      <c r="N297" s="83">
        <v>1</v>
      </c>
      <c r="O297" s="83">
        <v>0</v>
      </c>
      <c r="P297" s="83">
        <v>0</v>
      </c>
      <c r="Q297" s="83">
        <v>0</v>
      </c>
      <c r="R297" s="83">
        <v>1</v>
      </c>
      <c r="S297" s="83">
        <v>0</v>
      </c>
      <c r="V297" s="114"/>
    </row>
    <row r="298" spans="2:22" ht="13.5">
      <c r="B298" s="139"/>
      <c r="C298" s="160" t="s">
        <v>1278</v>
      </c>
      <c r="D298" s="116"/>
      <c r="E298" s="116">
        <v>0</v>
      </c>
      <c r="F298" s="116">
        <v>0</v>
      </c>
      <c r="G298" s="134">
        <v>0</v>
      </c>
      <c r="H298" s="134">
        <v>0</v>
      </c>
      <c r="I298" s="161">
        <v>0.21</v>
      </c>
      <c r="J298" s="140"/>
      <c r="K298" s="120">
        <v>281</v>
      </c>
      <c r="L298" s="83">
        <v>281</v>
      </c>
      <c r="M298" s="83">
        <v>0</v>
      </c>
      <c r="N298" s="83">
        <v>0</v>
      </c>
      <c r="O298" s="83">
        <v>0</v>
      </c>
      <c r="P298" s="83">
        <v>0</v>
      </c>
      <c r="Q298" s="83">
        <v>0</v>
      </c>
      <c r="R298" s="83">
        <v>0</v>
      </c>
      <c r="S298" s="83">
        <v>0</v>
      </c>
      <c r="V298" s="114"/>
    </row>
    <row r="299" spans="2:22" ht="13.5">
      <c r="B299" s="139"/>
      <c r="C299" s="160" t="s">
        <v>1279</v>
      </c>
      <c r="D299" s="116"/>
      <c r="E299" s="116">
        <v>0</v>
      </c>
      <c r="F299" s="116">
        <v>0</v>
      </c>
      <c r="G299" s="134">
        <v>0</v>
      </c>
      <c r="H299" s="134">
        <v>0</v>
      </c>
      <c r="I299" s="161">
        <v>0.94</v>
      </c>
      <c r="J299" s="140"/>
      <c r="K299" s="120">
        <v>282</v>
      </c>
      <c r="L299" s="83">
        <v>282</v>
      </c>
      <c r="M299" s="83">
        <v>0</v>
      </c>
      <c r="N299" s="83">
        <v>0</v>
      </c>
      <c r="O299" s="83">
        <v>0</v>
      </c>
      <c r="P299" s="83">
        <v>0</v>
      </c>
      <c r="Q299" s="83">
        <v>0</v>
      </c>
      <c r="R299" s="83">
        <v>0</v>
      </c>
      <c r="S299" s="83">
        <v>0</v>
      </c>
      <c r="V299" s="114"/>
    </row>
    <row r="300" spans="2:22" ht="13.5">
      <c r="B300" s="139"/>
      <c r="C300" s="160" t="s">
        <v>1280</v>
      </c>
      <c r="D300" s="116"/>
      <c r="E300" s="116">
        <v>0</v>
      </c>
      <c r="F300" s="116">
        <v>0</v>
      </c>
      <c r="G300" s="134">
        <v>0</v>
      </c>
      <c r="H300" s="134">
        <v>0</v>
      </c>
      <c r="I300" s="161">
        <v>0.51</v>
      </c>
      <c r="J300" s="140"/>
      <c r="K300" s="120">
        <v>283</v>
      </c>
      <c r="L300" s="83">
        <v>283</v>
      </c>
      <c r="M300" s="83">
        <v>0</v>
      </c>
      <c r="N300" s="83">
        <v>0</v>
      </c>
      <c r="O300" s="83">
        <v>0</v>
      </c>
      <c r="P300" s="83">
        <v>0</v>
      </c>
      <c r="Q300" s="83">
        <v>0</v>
      </c>
      <c r="R300" s="83">
        <v>0</v>
      </c>
      <c r="S300" s="83">
        <v>0</v>
      </c>
      <c r="V300" s="114"/>
    </row>
    <row r="301" spans="2:22" ht="13.5">
      <c r="B301" s="139"/>
      <c r="C301" s="160" t="s">
        <v>1281</v>
      </c>
      <c r="D301" s="116"/>
      <c r="E301" s="116">
        <v>0</v>
      </c>
      <c r="F301" s="116">
        <v>0</v>
      </c>
      <c r="G301" s="134">
        <v>0</v>
      </c>
      <c r="H301" s="134">
        <v>0</v>
      </c>
      <c r="I301" s="161">
        <v>0.58</v>
      </c>
      <c r="J301" s="140"/>
      <c r="K301" s="120">
        <v>284</v>
      </c>
      <c r="L301" s="83">
        <v>284</v>
      </c>
      <c r="M301" s="83">
        <v>0</v>
      </c>
      <c r="N301" s="83">
        <v>0</v>
      </c>
      <c r="O301" s="83">
        <v>0</v>
      </c>
      <c r="P301" s="83">
        <v>0</v>
      </c>
      <c r="Q301" s="83">
        <v>0</v>
      </c>
      <c r="R301" s="83">
        <v>0</v>
      </c>
      <c r="S301" s="83">
        <v>0</v>
      </c>
      <c r="V301" s="114"/>
    </row>
    <row r="302" spans="2:22" ht="13.5">
      <c r="B302" s="139"/>
      <c r="C302" s="160" t="s">
        <v>1282</v>
      </c>
      <c r="D302" s="116"/>
      <c r="E302" s="116">
        <v>0</v>
      </c>
      <c r="F302" s="116">
        <v>0</v>
      </c>
      <c r="G302" s="134">
        <v>0</v>
      </c>
      <c r="H302" s="134">
        <v>0</v>
      </c>
      <c r="I302" s="161">
        <v>0.1</v>
      </c>
      <c r="J302" s="140"/>
      <c r="K302" s="120">
        <v>285</v>
      </c>
      <c r="L302" s="83">
        <v>285</v>
      </c>
      <c r="M302" s="83">
        <v>0</v>
      </c>
      <c r="N302" s="83">
        <v>0</v>
      </c>
      <c r="O302" s="83">
        <v>0</v>
      </c>
      <c r="P302" s="83">
        <v>0</v>
      </c>
      <c r="Q302" s="83">
        <v>0</v>
      </c>
      <c r="R302" s="83">
        <v>0</v>
      </c>
      <c r="S302" s="83">
        <v>0</v>
      </c>
      <c r="V302" s="114"/>
    </row>
    <row r="303" spans="2:22" ht="13.5">
      <c r="B303" s="139"/>
      <c r="C303" s="160" t="s">
        <v>1283</v>
      </c>
      <c r="D303" s="116"/>
      <c r="E303" s="116">
        <v>0</v>
      </c>
      <c r="F303" s="116">
        <v>0</v>
      </c>
      <c r="G303" s="134">
        <v>0</v>
      </c>
      <c r="H303" s="134">
        <v>0</v>
      </c>
      <c r="I303" s="161">
        <v>0.62</v>
      </c>
      <c r="J303" s="140"/>
      <c r="K303" s="120">
        <v>286</v>
      </c>
      <c r="L303" s="83">
        <v>286</v>
      </c>
      <c r="M303" s="83">
        <v>0</v>
      </c>
      <c r="N303" s="83">
        <v>0</v>
      </c>
      <c r="O303" s="83">
        <v>0</v>
      </c>
      <c r="P303" s="83">
        <v>0</v>
      </c>
      <c r="Q303" s="83">
        <v>0</v>
      </c>
      <c r="R303" s="83">
        <v>0</v>
      </c>
      <c r="S303" s="83">
        <v>0</v>
      </c>
      <c r="V303" s="114"/>
    </row>
    <row r="304" spans="2:22" ht="13.5">
      <c r="B304" s="139"/>
      <c r="C304" s="160" t="s">
        <v>1284</v>
      </c>
      <c r="D304" s="116"/>
      <c r="E304" s="116">
        <v>0</v>
      </c>
      <c r="F304" s="116">
        <v>0</v>
      </c>
      <c r="G304" s="134">
        <v>0</v>
      </c>
      <c r="H304" s="134">
        <v>0</v>
      </c>
      <c r="I304" s="161">
        <v>0.34</v>
      </c>
      <c r="J304" s="140"/>
      <c r="K304" s="120">
        <v>287</v>
      </c>
      <c r="L304" s="83">
        <v>287</v>
      </c>
      <c r="M304" s="83">
        <v>0</v>
      </c>
      <c r="N304" s="83">
        <v>0</v>
      </c>
      <c r="O304" s="83">
        <v>0</v>
      </c>
      <c r="P304" s="83">
        <v>0</v>
      </c>
      <c r="Q304" s="83">
        <v>0</v>
      </c>
      <c r="R304" s="83">
        <v>0</v>
      </c>
      <c r="S304" s="83">
        <v>0</v>
      </c>
      <c r="V304" s="114"/>
    </row>
    <row r="305" spans="2:22" ht="13.5">
      <c r="B305" s="139"/>
      <c r="C305" s="160" t="s">
        <v>1285</v>
      </c>
      <c r="D305" s="116"/>
      <c r="E305" s="116">
        <v>2</v>
      </c>
      <c r="F305" s="116">
        <v>0</v>
      </c>
      <c r="G305" s="134">
        <v>0</v>
      </c>
      <c r="H305" s="134">
        <v>0</v>
      </c>
      <c r="I305" s="161">
        <v>0.2</v>
      </c>
      <c r="J305" s="140"/>
      <c r="K305" s="120">
        <v>104</v>
      </c>
      <c r="L305" s="83">
        <v>110</v>
      </c>
      <c r="M305" s="83">
        <v>0</v>
      </c>
      <c r="N305" s="83">
        <v>0</v>
      </c>
      <c r="O305" s="83">
        <v>0</v>
      </c>
      <c r="P305" s="83">
        <v>0</v>
      </c>
      <c r="Q305" s="83">
        <v>0</v>
      </c>
      <c r="R305" s="83">
        <v>1</v>
      </c>
      <c r="S305" s="83">
        <v>0</v>
      </c>
      <c r="V305" s="114"/>
    </row>
    <row r="306" spans="2:22" ht="13.5">
      <c r="B306" s="139"/>
      <c r="C306" s="160" t="s">
        <v>1286</v>
      </c>
      <c r="D306" s="116"/>
      <c r="E306" s="116">
        <v>0</v>
      </c>
      <c r="F306" s="116">
        <v>0</v>
      </c>
      <c r="G306" s="134">
        <v>0</v>
      </c>
      <c r="H306" s="134">
        <v>0</v>
      </c>
      <c r="I306" s="161">
        <v>0.89</v>
      </c>
      <c r="J306" s="140"/>
      <c r="K306" s="120">
        <v>288</v>
      </c>
      <c r="L306" s="83">
        <v>288</v>
      </c>
      <c r="M306" s="83">
        <v>0</v>
      </c>
      <c r="N306" s="83">
        <v>0</v>
      </c>
      <c r="O306" s="83">
        <v>0</v>
      </c>
      <c r="P306" s="83">
        <v>0</v>
      </c>
      <c r="Q306" s="83">
        <v>0</v>
      </c>
      <c r="R306" s="83">
        <v>0</v>
      </c>
      <c r="S306" s="83">
        <v>0</v>
      </c>
      <c r="V306" s="114"/>
    </row>
    <row r="307" spans="2:22" ht="13.5">
      <c r="B307" s="139"/>
      <c r="C307" s="160" t="s">
        <v>1287</v>
      </c>
      <c r="D307" s="116"/>
      <c r="E307" s="116">
        <v>18</v>
      </c>
      <c r="F307" s="116">
        <v>5</v>
      </c>
      <c r="G307" s="134">
        <v>0.009380863039399626</v>
      </c>
      <c r="H307" s="134">
        <v>0.2777777777777778</v>
      </c>
      <c r="I307" s="161">
        <v>0.21</v>
      </c>
      <c r="J307" s="140"/>
      <c r="K307" s="120">
        <v>42</v>
      </c>
      <c r="L307" s="83">
        <v>30</v>
      </c>
      <c r="M307" s="83">
        <v>0</v>
      </c>
      <c r="N307" s="83">
        <v>0</v>
      </c>
      <c r="O307" s="83">
        <v>1</v>
      </c>
      <c r="P307" s="83">
        <v>0</v>
      </c>
      <c r="Q307" s="83">
        <v>0</v>
      </c>
      <c r="R307" s="83">
        <v>1</v>
      </c>
      <c r="S307" s="83">
        <v>1</v>
      </c>
      <c r="V307" s="114"/>
    </row>
    <row r="308" spans="2:22" ht="13.5">
      <c r="B308" s="139"/>
      <c r="C308" s="160" t="s">
        <v>1288</v>
      </c>
      <c r="D308" s="116"/>
      <c r="E308" s="116">
        <v>0</v>
      </c>
      <c r="F308" s="116">
        <v>0</v>
      </c>
      <c r="G308" s="134">
        <v>0</v>
      </c>
      <c r="H308" s="134">
        <v>0</v>
      </c>
      <c r="I308" s="161">
        <v>0.38</v>
      </c>
      <c r="J308" s="140"/>
      <c r="K308" s="120">
        <v>289</v>
      </c>
      <c r="L308" s="83">
        <v>289</v>
      </c>
      <c r="M308" s="83">
        <v>0</v>
      </c>
      <c r="N308" s="83">
        <v>0</v>
      </c>
      <c r="O308" s="83">
        <v>0</v>
      </c>
      <c r="P308" s="83">
        <v>0</v>
      </c>
      <c r="Q308" s="83">
        <v>0</v>
      </c>
      <c r="R308" s="83">
        <v>0</v>
      </c>
      <c r="S308" s="83">
        <v>0</v>
      </c>
      <c r="V308" s="114"/>
    </row>
    <row r="309" spans="2:22" ht="13.5">
      <c r="B309" s="139"/>
      <c r="C309" s="160" t="s">
        <v>405</v>
      </c>
      <c r="D309" s="116"/>
      <c r="E309" s="116">
        <v>1</v>
      </c>
      <c r="F309" s="116">
        <v>1</v>
      </c>
      <c r="G309" s="134">
        <v>0.001876172607879925</v>
      </c>
      <c r="H309" s="134">
        <v>1</v>
      </c>
      <c r="I309" s="161">
        <v>0.11</v>
      </c>
      <c r="J309" s="140"/>
      <c r="K309" s="120">
        <v>133</v>
      </c>
      <c r="L309" s="83">
        <v>83</v>
      </c>
      <c r="M309" s="83">
        <v>0</v>
      </c>
      <c r="N309" s="83">
        <v>0</v>
      </c>
      <c r="O309" s="83">
        <v>0</v>
      </c>
      <c r="P309" s="83">
        <v>0</v>
      </c>
      <c r="Q309" s="83">
        <v>0</v>
      </c>
      <c r="R309" s="83">
        <v>1</v>
      </c>
      <c r="S309" s="83">
        <v>1</v>
      </c>
      <c r="V309" s="114"/>
    </row>
    <row r="310" spans="2:22" ht="13.5">
      <c r="B310" s="139"/>
      <c r="C310" s="160" t="s">
        <v>1289</v>
      </c>
      <c r="D310" s="116"/>
      <c r="E310" s="116">
        <v>0</v>
      </c>
      <c r="F310" s="116">
        <v>0</v>
      </c>
      <c r="G310" s="134">
        <v>0</v>
      </c>
      <c r="H310" s="134">
        <v>0</v>
      </c>
      <c r="I310" s="161">
        <v>0.27</v>
      </c>
      <c r="J310" s="140"/>
      <c r="K310" s="120">
        <v>290</v>
      </c>
      <c r="L310" s="83">
        <v>290</v>
      </c>
      <c r="M310" s="83">
        <v>0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V310" s="114"/>
    </row>
    <row r="311" spans="2:22" ht="13.5">
      <c r="B311" s="139"/>
      <c r="C311" s="160" t="s">
        <v>1290</v>
      </c>
      <c r="D311" s="116"/>
      <c r="E311" s="116">
        <v>0</v>
      </c>
      <c r="F311" s="116">
        <v>0</v>
      </c>
      <c r="G311" s="134">
        <v>0</v>
      </c>
      <c r="H311" s="134">
        <v>0</v>
      </c>
      <c r="I311" s="161">
        <v>0.68</v>
      </c>
      <c r="J311" s="140"/>
      <c r="K311" s="120">
        <v>291</v>
      </c>
      <c r="L311" s="83">
        <v>291</v>
      </c>
      <c r="M311" s="83">
        <v>0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V311" s="114"/>
    </row>
    <row r="312" spans="2:22" ht="13.5">
      <c r="B312" s="139"/>
      <c r="C312" s="160" t="s">
        <v>1082</v>
      </c>
      <c r="D312" s="116"/>
      <c r="E312" s="116">
        <v>1</v>
      </c>
      <c r="F312" s="116">
        <v>0</v>
      </c>
      <c r="G312" s="134">
        <v>0</v>
      </c>
      <c r="H312" s="134">
        <v>0</v>
      </c>
      <c r="I312" s="161">
        <v>0.16</v>
      </c>
      <c r="J312" s="140"/>
      <c r="K312" s="120">
        <v>134</v>
      </c>
      <c r="L312" s="83">
        <v>135</v>
      </c>
      <c r="M312" s="83">
        <v>0</v>
      </c>
      <c r="N312" s="83">
        <v>0</v>
      </c>
      <c r="O312" s="83">
        <v>0</v>
      </c>
      <c r="P312" s="83">
        <v>0</v>
      </c>
      <c r="Q312" s="83">
        <v>0</v>
      </c>
      <c r="R312" s="83">
        <v>1</v>
      </c>
      <c r="S312" s="83">
        <v>0</v>
      </c>
      <c r="V312" s="114"/>
    </row>
    <row r="313" spans="2:22" ht="13.5">
      <c r="B313" s="139"/>
      <c r="C313" s="160" t="s">
        <v>1291</v>
      </c>
      <c r="D313" s="116"/>
      <c r="E313" s="116">
        <v>0</v>
      </c>
      <c r="F313" s="116">
        <v>0</v>
      </c>
      <c r="G313" s="134">
        <v>0</v>
      </c>
      <c r="H313" s="134">
        <v>0</v>
      </c>
      <c r="I313" s="161">
        <v>0.12</v>
      </c>
      <c r="J313" s="140"/>
      <c r="K313" s="120">
        <v>292</v>
      </c>
      <c r="L313" s="83">
        <v>292</v>
      </c>
      <c r="M313" s="83">
        <v>0</v>
      </c>
      <c r="N313" s="83">
        <v>0</v>
      </c>
      <c r="O313" s="83">
        <v>0</v>
      </c>
      <c r="P313" s="83">
        <v>0</v>
      </c>
      <c r="Q313" s="83">
        <v>0</v>
      </c>
      <c r="R313" s="83">
        <v>0</v>
      </c>
      <c r="S313" s="83">
        <v>0</v>
      </c>
      <c r="V313" s="114"/>
    </row>
    <row r="314" spans="2:22" ht="13.5">
      <c r="B314" s="139"/>
      <c r="C314" s="160" t="s">
        <v>1292</v>
      </c>
      <c r="D314" s="116"/>
      <c r="E314" s="116">
        <v>0</v>
      </c>
      <c r="F314" s="116">
        <v>0</v>
      </c>
      <c r="G314" s="134">
        <v>0</v>
      </c>
      <c r="H314" s="134">
        <v>0</v>
      </c>
      <c r="I314" s="161">
        <v>0.4</v>
      </c>
      <c r="J314" s="140"/>
      <c r="K314" s="120">
        <v>293</v>
      </c>
      <c r="L314" s="83">
        <v>293</v>
      </c>
      <c r="M314" s="83">
        <v>0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V314" s="114"/>
    </row>
    <row r="315" spans="2:22" ht="13.5">
      <c r="B315" s="139"/>
      <c r="C315" s="160" t="s">
        <v>1293</v>
      </c>
      <c r="D315" s="116"/>
      <c r="E315" s="116">
        <v>9</v>
      </c>
      <c r="F315" s="116">
        <v>1</v>
      </c>
      <c r="G315" s="134">
        <v>0.001876172607879925</v>
      </c>
      <c r="H315" s="134">
        <v>0.1111111111111111</v>
      </c>
      <c r="I315" s="161">
        <v>0.19</v>
      </c>
      <c r="J315" s="140"/>
      <c r="K315" s="120">
        <v>61</v>
      </c>
      <c r="L315" s="83">
        <v>66</v>
      </c>
      <c r="M315" s="83">
        <v>0</v>
      </c>
      <c r="N315" s="83">
        <v>0</v>
      </c>
      <c r="O315" s="83">
        <v>1</v>
      </c>
      <c r="P315" s="83">
        <v>0</v>
      </c>
      <c r="Q315" s="83">
        <v>0</v>
      </c>
      <c r="R315" s="83">
        <v>1</v>
      </c>
      <c r="S315" s="83">
        <v>1</v>
      </c>
      <c r="V315" s="114"/>
    </row>
    <row r="316" spans="2:22" ht="13.5">
      <c r="B316" s="139"/>
      <c r="C316" s="160" t="s">
        <v>406</v>
      </c>
      <c r="D316" s="116"/>
      <c r="E316" s="116">
        <v>2</v>
      </c>
      <c r="F316" s="116">
        <v>1</v>
      </c>
      <c r="G316" s="134">
        <v>0.001876172607879925</v>
      </c>
      <c r="H316" s="134">
        <v>0.5</v>
      </c>
      <c r="I316" s="161">
        <v>0.14</v>
      </c>
      <c r="J316" s="140"/>
      <c r="K316" s="120">
        <v>105</v>
      </c>
      <c r="L316" s="83">
        <v>80</v>
      </c>
      <c r="M316" s="83">
        <v>0</v>
      </c>
      <c r="N316" s="83">
        <v>1</v>
      </c>
      <c r="O316" s="83">
        <v>0</v>
      </c>
      <c r="P316" s="83">
        <v>0</v>
      </c>
      <c r="Q316" s="83">
        <v>0</v>
      </c>
      <c r="R316" s="83">
        <v>1</v>
      </c>
      <c r="S316" s="83">
        <v>1</v>
      </c>
      <c r="V316" s="114"/>
    </row>
    <row r="317" spans="2:22" ht="13.5">
      <c r="B317" s="139"/>
      <c r="C317" s="160" t="s">
        <v>1294</v>
      </c>
      <c r="D317" s="116"/>
      <c r="E317" s="116">
        <v>0</v>
      </c>
      <c r="F317" s="116">
        <v>0</v>
      </c>
      <c r="G317" s="134">
        <v>0</v>
      </c>
      <c r="H317" s="134">
        <v>0</v>
      </c>
      <c r="I317" s="161">
        <v>1</v>
      </c>
      <c r="J317" s="140"/>
      <c r="K317" s="120">
        <v>294</v>
      </c>
      <c r="L317" s="83">
        <v>294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V317" s="114"/>
    </row>
    <row r="318" spans="2:22" ht="13.5">
      <c r="B318" s="139"/>
      <c r="C318" s="160" t="s">
        <v>407</v>
      </c>
      <c r="D318" s="116"/>
      <c r="E318" s="116">
        <v>4</v>
      </c>
      <c r="F318" s="116">
        <v>0</v>
      </c>
      <c r="G318" s="134">
        <v>0</v>
      </c>
      <c r="H318" s="134">
        <v>0</v>
      </c>
      <c r="I318" s="161">
        <v>0.17</v>
      </c>
      <c r="J318" s="140"/>
      <c r="K318" s="120">
        <v>84</v>
      </c>
      <c r="L318" s="83">
        <v>96</v>
      </c>
      <c r="M318" s="83">
        <v>0</v>
      </c>
      <c r="N318" s="83">
        <v>1</v>
      </c>
      <c r="O318" s="83">
        <v>0</v>
      </c>
      <c r="P318" s="83">
        <v>0</v>
      </c>
      <c r="Q318" s="83">
        <v>0</v>
      </c>
      <c r="R318" s="83">
        <v>1</v>
      </c>
      <c r="S318" s="83">
        <v>0</v>
      </c>
      <c r="V318" s="114"/>
    </row>
    <row r="319" spans="2:22" ht="13.5">
      <c r="B319" s="139"/>
      <c r="C319" s="160" t="s">
        <v>408</v>
      </c>
      <c r="D319" s="116"/>
      <c r="E319" s="116">
        <v>4</v>
      </c>
      <c r="F319" s="116">
        <v>0</v>
      </c>
      <c r="G319" s="134">
        <v>0</v>
      </c>
      <c r="H319" s="134">
        <v>0</v>
      </c>
      <c r="I319" s="161">
        <v>0.24</v>
      </c>
      <c r="J319" s="140"/>
      <c r="K319" s="120">
        <v>85</v>
      </c>
      <c r="L319" s="83">
        <v>97</v>
      </c>
      <c r="M319" s="83">
        <v>0</v>
      </c>
      <c r="N319" s="83">
        <v>0</v>
      </c>
      <c r="O319" s="83">
        <v>0</v>
      </c>
      <c r="P319" s="83">
        <v>0</v>
      </c>
      <c r="Q319" s="83">
        <v>0</v>
      </c>
      <c r="R319" s="83">
        <v>1</v>
      </c>
      <c r="S319" s="83">
        <v>0</v>
      </c>
      <c r="V319" s="114"/>
    </row>
    <row r="320" spans="2:22" ht="13.5">
      <c r="B320" s="139"/>
      <c r="C320" s="160" t="s">
        <v>1295</v>
      </c>
      <c r="D320" s="116"/>
      <c r="E320" s="116">
        <v>0</v>
      </c>
      <c r="F320" s="116">
        <v>0</v>
      </c>
      <c r="G320" s="134">
        <v>0</v>
      </c>
      <c r="H320" s="134">
        <v>0</v>
      </c>
      <c r="I320" s="161">
        <v>0.36</v>
      </c>
      <c r="J320" s="140"/>
      <c r="K320" s="120">
        <v>295</v>
      </c>
      <c r="L320" s="83">
        <v>295</v>
      </c>
      <c r="M320" s="83">
        <v>0</v>
      </c>
      <c r="N320" s="83">
        <v>0</v>
      </c>
      <c r="O320" s="83">
        <v>0</v>
      </c>
      <c r="P320" s="83">
        <v>0</v>
      </c>
      <c r="Q320" s="83">
        <v>0</v>
      </c>
      <c r="R320" s="83">
        <v>0</v>
      </c>
      <c r="S320" s="83">
        <v>0</v>
      </c>
      <c r="V320" s="114"/>
    </row>
    <row r="321" spans="2:22" ht="13.5">
      <c r="B321" s="139"/>
      <c r="C321" s="160" t="s">
        <v>1296</v>
      </c>
      <c r="D321" s="116"/>
      <c r="E321" s="116">
        <v>0</v>
      </c>
      <c r="F321" s="116">
        <v>0</v>
      </c>
      <c r="G321" s="134">
        <v>0</v>
      </c>
      <c r="H321" s="134">
        <v>0</v>
      </c>
      <c r="I321" s="161">
        <v>0.38</v>
      </c>
      <c r="J321" s="140"/>
      <c r="K321" s="120">
        <v>296</v>
      </c>
      <c r="L321" s="83">
        <v>296</v>
      </c>
      <c r="M321" s="83">
        <v>0</v>
      </c>
      <c r="N321" s="83">
        <v>0</v>
      </c>
      <c r="O321" s="83">
        <v>0</v>
      </c>
      <c r="P321" s="83">
        <v>0</v>
      </c>
      <c r="Q321" s="83">
        <v>0</v>
      </c>
      <c r="R321" s="83">
        <v>0</v>
      </c>
      <c r="S321" s="83">
        <v>0</v>
      </c>
      <c r="V321" s="114"/>
    </row>
    <row r="322" spans="2:22" ht="13.5">
      <c r="B322" s="139"/>
      <c r="C322" s="160" t="s">
        <v>1297</v>
      </c>
      <c r="D322" s="116"/>
      <c r="E322" s="116">
        <v>0</v>
      </c>
      <c r="F322" s="116">
        <v>0</v>
      </c>
      <c r="G322" s="134">
        <v>0</v>
      </c>
      <c r="H322" s="134">
        <v>0</v>
      </c>
      <c r="I322" s="161">
        <v>0.1</v>
      </c>
      <c r="J322" s="140"/>
      <c r="K322" s="120">
        <v>297</v>
      </c>
      <c r="L322" s="83">
        <v>297</v>
      </c>
      <c r="M322" s="83">
        <v>0</v>
      </c>
      <c r="N322" s="83">
        <v>0</v>
      </c>
      <c r="O322" s="83">
        <v>0</v>
      </c>
      <c r="P322" s="83">
        <v>0</v>
      </c>
      <c r="Q322" s="83">
        <v>0</v>
      </c>
      <c r="R322" s="83">
        <v>0</v>
      </c>
      <c r="S322" s="83">
        <v>0</v>
      </c>
      <c r="V322" s="114"/>
    </row>
    <row r="323" spans="2:22" ht="13.5">
      <c r="B323" s="139"/>
      <c r="C323" s="160" t="s">
        <v>1298</v>
      </c>
      <c r="D323" s="116"/>
      <c r="E323" s="116">
        <v>21</v>
      </c>
      <c r="F323" s="116">
        <v>7</v>
      </c>
      <c r="G323" s="134">
        <v>0.013133208255159476</v>
      </c>
      <c r="H323" s="134">
        <v>0.3333333333333333</v>
      </c>
      <c r="I323" s="161">
        <v>0.26</v>
      </c>
      <c r="J323" s="140"/>
      <c r="K323" s="120">
        <v>35</v>
      </c>
      <c r="L323" s="83">
        <v>22</v>
      </c>
      <c r="M323" s="83">
        <v>0</v>
      </c>
      <c r="N323" s="83">
        <v>0</v>
      </c>
      <c r="O323" s="83">
        <v>1</v>
      </c>
      <c r="P323" s="83">
        <v>0</v>
      </c>
      <c r="Q323" s="83">
        <v>0</v>
      </c>
      <c r="R323" s="83">
        <v>1</v>
      </c>
      <c r="S323" s="83">
        <v>1</v>
      </c>
      <c r="V323" s="114"/>
    </row>
    <row r="324" spans="2:22" ht="13.5">
      <c r="B324" s="139"/>
      <c r="C324" s="160" t="s">
        <v>1299</v>
      </c>
      <c r="D324" s="116"/>
      <c r="E324" s="116">
        <v>0</v>
      </c>
      <c r="F324" s="116">
        <v>0</v>
      </c>
      <c r="G324" s="134">
        <v>0</v>
      </c>
      <c r="H324" s="134">
        <v>0</v>
      </c>
      <c r="I324" s="161">
        <v>1.14</v>
      </c>
      <c r="J324" s="140"/>
      <c r="K324" s="120">
        <v>298</v>
      </c>
      <c r="L324" s="83">
        <v>298</v>
      </c>
      <c r="M324" s="83">
        <v>0</v>
      </c>
      <c r="N324" s="83">
        <v>0</v>
      </c>
      <c r="O324" s="83">
        <v>0</v>
      </c>
      <c r="P324" s="83">
        <v>0</v>
      </c>
      <c r="Q324" s="83">
        <v>0</v>
      </c>
      <c r="R324" s="83">
        <v>0</v>
      </c>
      <c r="S324" s="83">
        <v>0</v>
      </c>
      <c r="V324" s="114"/>
    </row>
    <row r="325" spans="2:22" ht="13.5">
      <c r="B325" s="139"/>
      <c r="C325" s="160" t="s">
        <v>1083</v>
      </c>
      <c r="D325" s="116"/>
      <c r="E325" s="116">
        <v>2</v>
      </c>
      <c r="F325" s="116">
        <v>0</v>
      </c>
      <c r="G325" s="134">
        <v>0</v>
      </c>
      <c r="H325" s="134">
        <v>0</v>
      </c>
      <c r="I325" s="161">
        <v>0.37</v>
      </c>
      <c r="J325" s="140"/>
      <c r="K325" s="120">
        <v>106</v>
      </c>
      <c r="L325" s="83">
        <v>111</v>
      </c>
      <c r="M325" s="83">
        <v>0</v>
      </c>
      <c r="N325" s="83">
        <v>0</v>
      </c>
      <c r="O325" s="83">
        <v>0</v>
      </c>
      <c r="P325" s="83">
        <v>0</v>
      </c>
      <c r="Q325" s="83">
        <v>0</v>
      </c>
      <c r="R325" s="83">
        <v>1</v>
      </c>
      <c r="S325" s="83">
        <v>0</v>
      </c>
      <c r="V325" s="114"/>
    </row>
    <row r="326" spans="2:22" ht="13.5">
      <c r="B326" s="139"/>
      <c r="C326" s="160" t="s">
        <v>1300</v>
      </c>
      <c r="D326" s="116"/>
      <c r="E326" s="116">
        <v>0</v>
      </c>
      <c r="F326" s="116">
        <v>0</v>
      </c>
      <c r="G326" s="134">
        <v>0</v>
      </c>
      <c r="H326" s="134">
        <v>0</v>
      </c>
      <c r="I326" s="161">
        <v>0.58</v>
      </c>
      <c r="J326" s="140"/>
      <c r="K326" s="120">
        <v>299</v>
      </c>
      <c r="L326" s="83">
        <v>299</v>
      </c>
      <c r="M326" s="83">
        <v>0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0</v>
      </c>
      <c r="V326" s="114"/>
    </row>
    <row r="327" spans="2:22" ht="13.5">
      <c r="B327" s="139"/>
      <c r="C327" s="160" t="s">
        <v>1301</v>
      </c>
      <c r="D327" s="116"/>
      <c r="E327" s="116">
        <v>0</v>
      </c>
      <c r="F327" s="116">
        <v>0</v>
      </c>
      <c r="G327" s="134">
        <v>0</v>
      </c>
      <c r="H327" s="134">
        <v>0</v>
      </c>
      <c r="I327" s="161">
        <v>0.81</v>
      </c>
      <c r="J327" s="140"/>
      <c r="K327" s="120">
        <v>300</v>
      </c>
      <c r="L327" s="83">
        <v>300</v>
      </c>
      <c r="M327" s="83">
        <v>0</v>
      </c>
      <c r="N327" s="83">
        <v>0</v>
      </c>
      <c r="O327" s="83">
        <v>0</v>
      </c>
      <c r="P327" s="83">
        <v>0</v>
      </c>
      <c r="Q327" s="83">
        <v>0</v>
      </c>
      <c r="R327" s="83">
        <v>0</v>
      </c>
      <c r="S327" s="83">
        <v>0</v>
      </c>
      <c r="V327" s="114"/>
    </row>
    <row r="328" spans="2:22" ht="13.5">
      <c r="B328" s="139"/>
      <c r="C328" s="160" t="s">
        <v>1302</v>
      </c>
      <c r="D328" s="116"/>
      <c r="E328" s="116">
        <v>2</v>
      </c>
      <c r="F328" s="116">
        <v>0</v>
      </c>
      <c r="G328" s="134">
        <v>0</v>
      </c>
      <c r="H328" s="134">
        <v>0</v>
      </c>
      <c r="I328" s="161">
        <v>0.16</v>
      </c>
      <c r="J328" s="140"/>
      <c r="K328" s="120">
        <v>107</v>
      </c>
      <c r="L328" s="83">
        <v>112</v>
      </c>
      <c r="M328" s="83">
        <v>0</v>
      </c>
      <c r="N328" s="83">
        <v>0</v>
      </c>
      <c r="O328" s="83">
        <v>0</v>
      </c>
      <c r="P328" s="83">
        <v>0</v>
      </c>
      <c r="Q328" s="83">
        <v>0</v>
      </c>
      <c r="R328" s="83">
        <v>1</v>
      </c>
      <c r="S328" s="83">
        <v>0</v>
      </c>
      <c r="V328" s="114"/>
    </row>
    <row r="329" spans="2:22" ht="13.5">
      <c r="B329" s="139"/>
      <c r="C329" s="160" t="s">
        <v>1303</v>
      </c>
      <c r="D329" s="116"/>
      <c r="E329" s="116">
        <v>0</v>
      </c>
      <c r="F329" s="116">
        <v>0</v>
      </c>
      <c r="G329" s="134">
        <v>0</v>
      </c>
      <c r="H329" s="134">
        <v>0</v>
      </c>
      <c r="I329" s="161">
        <v>0.28</v>
      </c>
      <c r="J329" s="140"/>
      <c r="K329" s="120">
        <v>301</v>
      </c>
      <c r="L329" s="83">
        <v>301</v>
      </c>
      <c r="M329" s="83">
        <v>0</v>
      </c>
      <c r="N329" s="83">
        <v>0</v>
      </c>
      <c r="O329" s="83">
        <v>1</v>
      </c>
      <c r="P329" s="83">
        <v>0</v>
      </c>
      <c r="Q329" s="83">
        <v>0</v>
      </c>
      <c r="R329" s="83">
        <v>0</v>
      </c>
      <c r="S329" s="83">
        <v>0</v>
      </c>
      <c r="V329" s="114"/>
    </row>
    <row r="330" spans="2:22" ht="13.5">
      <c r="B330" s="139"/>
      <c r="C330" s="160" t="s">
        <v>1084</v>
      </c>
      <c r="D330" s="116"/>
      <c r="E330" s="116">
        <v>2</v>
      </c>
      <c r="F330" s="116">
        <v>0</v>
      </c>
      <c r="G330" s="134">
        <v>0</v>
      </c>
      <c r="H330" s="134">
        <v>0</v>
      </c>
      <c r="I330" s="161">
        <v>0.16</v>
      </c>
      <c r="J330" s="140"/>
      <c r="K330" s="120">
        <v>108</v>
      </c>
      <c r="L330" s="83">
        <v>113</v>
      </c>
      <c r="M330" s="83">
        <v>0</v>
      </c>
      <c r="N330" s="83">
        <v>0</v>
      </c>
      <c r="O330" s="83">
        <v>0</v>
      </c>
      <c r="P330" s="83">
        <v>0</v>
      </c>
      <c r="Q330" s="83">
        <v>1</v>
      </c>
      <c r="R330" s="83">
        <v>1</v>
      </c>
      <c r="S330" s="83">
        <v>0</v>
      </c>
      <c r="V330" s="114"/>
    </row>
    <row r="331" spans="2:22" ht="13.5">
      <c r="B331" s="139"/>
      <c r="C331" s="160" t="s">
        <v>409</v>
      </c>
      <c r="D331" s="116"/>
      <c r="E331" s="116">
        <v>23</v>
      </c>
      <c r="F331" s="116">
        <v>5</v>
      </c>
      <c r="G331" s="134">
        <v>0.009380863039399626</v>
      </c>
      <c r="H331" s="134">
        <v>0.21739130434782608</v>
      </c>
      <c r="I331" s="161">
        <v>0.13</v>
      </c>
      <c r="J331" s="140"/>
      <c r="K331" s="120">
        <v>33</v>
      </c>
      <c r="L331" s="83">
        <v>28</v>
      </c>
      <c r="M331" s="83">
        <v>1</v>
      </c>
      <c r="N331" s="83">
        <v>0</v>
      </c>
      <c r="O331" s="83">
        <v>0</v>
      </c>
      <c r="P331" s="83">
        <v>0</v>
      </c>
      <c r="Q331" s="83">
        <v>0</v>
      </c>
      <c r="R331" s="83">
        <v>1</v>
      </c>
      <c r="S331" s="83">
        <v>1</v>
      </c>
      <c r="V331" s="114"/>
    </row>
    <row r="332" spans="2:22" ht="13.5">
      <c r="B332" s="139"/>
      <c r="C332" s="160" t="s">
        <v>1304</v>
      </c>
      <c r="D332" s="116"/>
      <c r="E332" s="116">
        <v>0</v>
      </c>
      <c r="F332" s="116">
        <v>0</v>
      </c>
      <c r="G332" s="134">
        <v>0</v>
      </c>
      <c r="H332" s="134">
        <v>0</v>
      </c>
      <c r="I332" s="161">
        <v>0.02</v>
      </c>
      <c r="J332" s="140"/>
      <c r="K332" s="120">
        <v>302</v>
      </c>
      <c r="L332" s="83">
        <v>302</v>
      </c>
      <c r="M332" s="83">
        <v>0</v>
      </c>
      <c r="N332" s="83">
        <v>0</v>
      </c>
      <c r="O332" s="83">
        <v>0</v>
      </c>
      <c r="P332" s="83">
        <v>0</v>
      </c>
      <c r="Q332" s="83">
        <v>0</v>
      </c>
      <c r="R332" s="83">
        <v>0</v>
      </c>
      <c r="S332" s="83">
        <v>0</v>
      </c>
      <c r="V332" s="114"/>
    </row>
    <row r="333" spans="2:22" ht="13.5">
      <c r="B333" s="139"/>
      <c r="C333" s="160" t="s">
        <v>1305</v>
      </c>
      <c r="D333" s="116"/>
      <c r="E333" s="116">
        <v>2</v>
      </c>
      <c r="F333" s="116">
        <v>0</v>
      </c>
      <c r="G333" s="134">
        <v>0</v>
      </c>
      <c r="H333" s="134">
        <v>0</v>
      </c>
      <c r="I333" s="161">
        <v>0.15</v>
      </c>
      <c r="J333" s="140"/>
      <c r="K333" s="120">
        <v>109</v>
      </c>
      <c r="L333" s="83">
        <v>114</v>
      </c>
      <c r="M333" s="83">
        <v>0</v>
      </c>
      <c r="N333" s="83">
        <v>0</v>
      </c>
      <c r="O333" s="83">
        <v>1</v>
      </c>
      <c r="P333" s="83">
        <v>0</v>
      </c>
      <c r="Q333" s="83">
        <v>0</v>
      </c>
      <c r="R333" s="83">
        <v>1</v>
      </c>
      <c r="S333" s="83">
        <v>0</v>
      </c>
      <c r="V333" s="114"/>
    </row>
    <row r="334" spans="2:22" ht="13.5">
      <c r="B334" s="139"/>
      <c r="C334" s="160" t="s">
        <v>1306</v>
      </c>
      <c r="D334" s="116"/>
      <c r="E334" s="116">
        <v>1</v>
      </c>
      <c r="F334" s="116">
        <v>0</v>
      </c>
      <c r="G334" s="134">
        <v>0</v>
      </c>
      <c r="H334" s="134">
        <v>0</v>
      </c>
      <c r="I334" s="161">
        <v>0.5</v>
      </c>
      <c r="J334" s="140"/>
      <c r="K334" s="120">
        <v>135</v>
      </c>
      <c r="L334" s="83">
        <v>136</v>
      </c>
      <c r="M334" s="83">
        <v>0</v>
      </c>
      <c r="N334" s="83">
        <v>0</v>
      </c>
      <c r="O334" s="83">
        <v>0</v>
      </c>
      <c r="P334" s="83">
        <v>0</v>
      </c>
      <c r="Q334" s="83">
        <v>0</v>
      </c>
      <c r="R334" s="83">
        <v>1</v>
      </c>
      <c r="S334" s="83">
        <v>0</v>
      </c>
      <c r="V334" s="114"/>
    </row>
    <row r="335" spans="2:22" ht="13.5">
      <c r="B335" s="139"/>
      <c r="C335" s="160" t="s">
        <v>1307</v>
      </c>
      <c r="D335" s="116"/>
      <c r="E335" s="116">
        <v>0</v>
      </c>
      <c r="F335" s="116">
        <v>0</v>
      </c>
      <c r="G335" s="134">
        <v>0</v>
      </c>
      <c r="H335" s="134">
        <v>0</v>
      </c>
      <c r="I335" s="161">
        <v>0.3</v>
      </c>
      <c r="J335" s="140"/>
      <c r="K335" s="120">
        <v>303</v>
      </c>
      <c r="L335" s="83">
        <v>303</v>
      </c>
      <c r="M335" s="83">
        <v>0</v>
      </c>
      <c r="N335" s="83">
        <v>0</v>
      </c>
      <c r="O335" s="83">
        <v>0</v>
      </c>
      <c r="P335" s="83">
        <v>0</v>
      </c>
      <c r="Q335" s="83">
        <v>0</v>
      </c>
      <c r="R335" s="83">
        <v>0</v>
      </c>
      <c r="S335" s="83">
        <v>0</v>
      </c>
      <c r="V335" s="114"/>
    </row>
    <row r="336" spans="2:22" ht="13.5">
      <c r="B336" s="139"/>
      <c r="C336" s="160" t="s">
        <v>1308</v>
      </c>
      <c r="D336" s="116"/>
      <c r="E336" s="116">
        <v>0</v>
      </c>
      <c r="F336" s="116">
        <v>0</v>
      </c>
      <c r="G336" s="134">
        <v>0</v>
      </c>
      <c r="H336" s="134">
        <v>0</v>
      </c>
      <c r="I336" s="161">
        <v>0.13</v>
      </c>
      <c r="J336" s="140"/>
      <c r="K336" s="120">
        <v>304</v>
      </c>
      <c r="L336" s="83">
        <v>304</v>
      </c>
      <c r="M336" s="83">
        <v>0</v>
      </c>
      <c r="N336" s="83">
        <v>0</v>
      </c>
      <c r="O336" s="83">
        <v>0</v>
      </c>
      <c r="P336" s="83">
        <v>0</v>
      </c>
      <c r="Q336" s="83">
        <v>0</v>
      </c>
      <c r="R336" s="83">
        <v>0</v>
      </c>
      <c r="S336" s="83">
        <v>0</v>
      </c>
      <c r="V336" s="114"/>
    </row>
    <row r="337" spans="2:22" ht="13.5">
      <c r="B337" s="139"/>
      <c r="C337" s="160" t="s">
        <v>410</v>
      </c>
      <c r="D337" s="116"/>
      <c r="E337" s="116">
        <v>20</v>
      </c>
      <c r="F337" s="116">
        <v>5</v>
      </c>
      <c r="G337" s="134">
        <v>0.009380863039399626</v>
      </c>
      <c r="H337" s="134">
        <v>0.25</v>
      </c>
      <c r="I337" s="161">
        <v>0.13</v>
      </c>
      <c r="J337" s="140"/>
      <c r="K337" s="120">
        <v>38</v>
      </c>
      <c r="L337" s="83">
        <v>29</v>
      </c>
      <c r="M337" s="83">
        <v>1</v>
      </c>
      <c r="N337" s="83">
        <v>0</v>
      </c>
      <c r="O337" s="83">
        <v>0</v>
      </c>
      <c r="P337" s="83">
        <v>0</v>
      </c>
      <c r="Q337" s="83">
        <v>0</v>
      </c>
      <c r="R337" s="83">
        <v>1</v>
      </c>
      <c r="S337" s="83">
        <v>1</v>
      </c>
      <c r="V337" s="114"/>
    </row>
    <row r="338" spans="2:22" ht="13.5">
      <c r="B338" s="139"/>
      <c r="C338" s="160" t="s">
        <v>1309</v>
      </c>
      <c r="D338" s="116"/>
      <c r="E338" s="116">
        <v>0</v>
      </c>
      <c r="F338" s="116">
        <v>0</v>
      </c>
      <c r="G338" s="134">
        <v>0</v>
      </c>
      <c r="H338" s="134">
        <v>0</v>
      </c>
      <c r="I338" s="161">
        <v>0.34</v>
      </c>
      <c r="J338" s="140"/>
      <c r="K338" s="120">
        <v>305</v>
      </c>
      <c r="L338" s="83">
        <v>305</v>
      </c>
      <c r="M338" s="83">
        <v>0</v>
      </c>
      <c r="N338" s="83">
        <v>0</v>
      </c>
      <c r="O338" s="83">
        <v>0</v>
      </c>
      <c r="P338" s="83">
        <v>0</v>
      </c>
      <c r="Q338" s="83">
        <v>0</v>
      </c>
      <c r="R338" s="83">
        <v>0</v>
      </c>
      <c r="S338" s="83">
        <v>0</v>
      </c>
      <c r="V338" s="114"/>
    </row>
    <row r="339" spans="2:22" ht="13.5">
      <c r="B339" s="139"/>
      <c r="C339" s="160" t="s">
        <v>1310</v>
      </c>
      <c r="D339" s="116"/>
      <c r="E339" s="116">
        <v>0</v>
      </c>
      <c r="F339" s="116">
        <v>0</v>
      </c>
      <c r="G339" s="134">
        <v>0</v>
      </c>
      <c r="H339" s="134">
        <v>0</v>
      </c>
      <c r="I339" s="161">
        <v>0.41</v>
      </c>
      <c r="J339" s="140"/>
      <c r="K339" s="120">
        <v>306</v>
      </c>
      <c r="L339" s="83">
        <v>306</v>
      </c>
      <c r="M339" s="83">
        <v>0</v>
      </c>
      <c r="N339" s="83">
        <v>0</v>
      </c>
      <c r="O339" s="83">
        <v>0</v>
      </c>
      <c r="P339" s="83">
        <v>0</v>
      </c>
      <c r="Q339" s="83">
        <v>0</v>
      </c>
      <c r="R339" s="83">
        <v>0</v>
      </c>
      <c r="S339" s="83">
        <v>0</v>
      </c>
      <c r="V339" s="114"/>
    </row>
    <row r="340" spans="2:22" ht="13.5">
      <c r="B340" s="139"/>
      <c r="C340" s="160" t="s">
        <v>1311</v>
      </c>
      <c r="D340" s="116"/>
      <c r="E340" s="116">
        <v>0</v>
      </c>
      <c r="F340" s="116">
        <v>0</v>
      </c>
      <c r="G340" s="134">
        <v>0</v>
      </c>
      <c r="H340" s="134">
        <v>0</v>
      </c>
      <c r="I340" s="161">
        <v>0.62</v>
      </c>
      <c r="J340" s="140"/>
      <c r="K340" s="120">
        <v>307</v>
      </c>
      <c r="L340" s="83">
        <v>307</v>
      </c>
      <c r="M340" s="83">
        <v>0</v>
      </c>
      <c r="N340" s="83">
        <v>0</v>
      </c>
      <c r="O340" s="83">
        <v>0</v>
      </c>
      <c r="P340" s="83">
        <v>0</v>
      </c>
      <c r="Q340" s="83">
        <v>0</v>
      </c>
      <c r="R340" s="83">
        <v>0</v>
      </c>
      <c r="S340" s="83">
        <v>0</v>
      </c>
      <c r="V340" s="114"/>
    </row>
    <row r="341" spans="2:22" ht="13.5">
      <c r="B341" s="139"/>
      <c r="C341" s="160" t="s">
        <v>1085</v>
      </c>
      <c r="D341" s="116"/>
      <c r="E341" s="116">
        <v>13</v>
      </c>
      <c r="F341" s="116">
        <v>3</v>
      </c>
      <c r="G341" s="134">
        <v>0.005628517823639775</v>
      </c>
      <c r="H341" s="134">
        <v>0.23076923076923078</v>
      </c>
      <c r="I341" s="161">
        <v>0.18</v>
      </c>
      <c r="J341" s="140"/>
      <c r="K341" s="120">
        <v>51</v>
      </c>
      <c r="L341" s="83">
        <v>42</v>
      </c>
      <c r="M341" s="83">
        <v>0</v>
      </c>
      <c r="N341" s="83">
        <v>0</v>
      </c>
      <c r="O341" s="83">
        <v>0</v>
      </c>
      <c r="P341" s="83">
        <v>0</v>
      </c>
      <c r="Q341" s="83">
        <v>0</v>
      </c>
      <c r="R341" s="83">
        <v>1</v>
      </c>
      <c r="S341" s="83">
        <v>1</v>
      </c>
      <c r="V341" s="114"/>
    </row>
    <row r="342" spans="2:22" ht="13.5">
      <c r="B342" s="139"/>
      <c r="C342" s="160" t="s">
        <v>1312</v>
      </c>
      <c r="D342" s="116"/>
      <c r="E342" s="116">
        <v>0</v>
      </c>
      <c r="F342" s="116">
        <v>0</v>
      </c>
      <c r="G342" s="134">
        <v>0</v>
      </c>
      <c r="H342" s="134">
        <v>0</v>
      </c>
      <c r="I342" s="161">
        <v>0.29</v>
      </c>
      <c r="J342" s="140"/>
      <c r="K342" s="120">
        <v>308</v>
      </c>
      <c r="L342" s="83">
        <v>308</v>
      </c>
      <c r="M342" s="83">
        <v>0</v>
      </c>
      <c r="N342" s="83">
        <v>0</v>
      </c>
      <c r="O342" s="83">
        <v>0</v>
      </c>
      <c r="P342" s="83">
        <v>0</v>
      </c>
      <c r="Q342" s="83">
        <v>0</v>
      </c>
      <c r="R342" s="83">
        <v>0</v>
      </c>
      <c r="S342" s="83">
        <v>0</v>
      </c>
      <c r="V342" s="114"/>
    </row>
    <row r="343" spans="2:22" ht="13.5">
      <c r="B343" s="139"/>
      <c r="C343" s="160" t="s">
        <v>1313</v>
      </c>
      <c r="D343" s="116"/>
      <c r="E343" s="116">
        <v>0</v>
      </c>
      <c r="F343" s="116">
        <v>0</v>
      </c>
      <c r="G343" s="134">
        <v>0</v>
      </c>
      <c r="H343" s="134">
        <v>0</v>
      </c>
      <c r="I343" s="161">
        <v>0.02</v>
      </c>
      <c r="J343" s="140"/>
      <c r="K343" s="120">
        <v>309</v>
      </c>
      <c r="L343" s="83">
        <v>309</v>
      </c>
      <c r="M343" s="83">
        <v>0</v>
      </c>
      <c r="N343" s="83">
        <v>0</v>
      </c>
      <c r="O343" s="83">
        <v>0</v>
      </c>
      <c r="P343" s="83">
        <v>0</v>
      </c>
      <c r="Q343" s="83">
        <v>0</v>
      </c>
      <c r="R343" s="83">
        <v>0</v>
      </c>
      <c r="S343" s="83">
        <v>0</v>
      </c>
      <c r="V343" s="114"/>
    </row>
    <row r="344" spans="2:22" ht="13.5">
      <c r="B344" s="139"/>
      <c r="C344" s="160" t="s">
        <v>1314</v>
      </c>
      <c r="D344" s="116"/>
      <c r="E344" s="116">
        <v>0</v>
      </c>
      <c r="F344" s="116">
        <v>0</v>
      </c>
      <c r="G344" s="134">
        <v>0</v>
      </c>
      <c r="H344" s="134">
        <v>0</v>
      </c>
      <c r="I344" s="161">
        <v>0.37</v>
      </c>
      <c r="J344" s="140"/>
      <c r="K344" s="120">
        <v>310</v>
      </c>
      <c r="L344" s="83">
        <v>310</v>
      </c>
      <c r="M344" s="83">
        <v>0</v>
      </c>
      <c r="N344" s="83">
        <v>0</v>
      </c>
      <c r="O344" s="83">
        <v>0</v>
      </c>
      <c r="P344" s="83">
        <v>0</v>
      </c>
      <c r="Q344" s="83">
        <v>0</v>
      </c>
      <c r="R344" s="83">
        <v>0</v>
      </c>
      <c r="S344" s="83">
        <v>0</v>
      </c>
      <c r="V344" s="114"/>
    </row>
    <row r="345" spans="2:22" ht="13.5">
      <c r="B345" s="139"/>
      <c r="C345" s="160" t="s">
        <v>1315</v>
      </c>
      <c r="D345" s="116"/>
      <c r="E345" s="116">
        <v>0</v>
      </c>
      <c r="F345" s="116">
        <v>0</v>
      </c>
      <c r="G345" s="134">
        <v>0</v>
      </c>
      <c r="H345" s="134">
        <v>0</v>
      </c>
      <c r="I345" s="161">
        <v>0.49</v>
      </c>
      <c r="J345" s="140"/>
      <c r="K345" s="120">
        <v>311</v>
      </c>
      <c r="L345" s="83">
        <v>311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83">
        <v>0</v>
      </c>
      <c r="S345" s="83">
        <v>0</v>
      </c>
      <c r="V345" s="114"/>
    </row>
    <row r="346" spans="2:22" ht="13.5">
      <c r="B346" s="139"/>
      <c r="C346" s="160" t="s">
        <v>1316</v>
      </c>
      <c r="D346" s="116"/>
      <c r="E346" s="116">
        <v>0</v>
      </c>
      <c r="F346" s="116">
        <v>0</v>
      </c>
      <c r="G346" s="134">
        <v>0</v>
      </c>
      <c r="H346" s="134">
        <v>0</v>
      </c>
      <c r="I346" s="161">
        <v>0.83</v>
      </c>
      <c r="J346" s="140"/>
      <c r="K346" s="120">
        <v>312</v>
      </c>
      <c r="L346" s="83">
        <v>312</v>
      </c>
      <c r="M346" s="83">
        <v>0</v>
      </c>
      <c r="N346" s="83">
        <v>0</v>
      </c>
      <c r="O346" s="83">
        <v>0</v>
      </c>
      <c r="P346" s="83">
        <v>0</v>
      </c>
      <c r="Q346" s="83">
        <v>0</v>
      </c>
      <c r="R346" s="83">
        <v>0</v>
      </c>
      <c r="S346" s="83">
        <v>0</v>
      </c>
      <c r="V346" s="114"/>
    </row>
    <row r="347" spans="2:22" ht="13.5">
      <c r="B347" s="139"/>
      <c r="C347" s="160" t="s">
        <v>1317</v>
      </c>
      <c r="D347" s="116"/>
      <c r="E347" s="116">
        <v>0</v>
      </c>
      <c r="F347" s="116">
        <v>0</v>
      </c>
      <c r="G347" s="134">
        <v>0</v>
      </c>
      <c r="H347" s="134">
        <v>0</v>
      </c>
      <c r="I347" s="161">
        <v>0.47</v>
      </c>
      <c r="J347" s="140"/>
      <c r="K347" s="120">
        <v>313</v>
      </c>
      <c r="L347" s="83">
        <v>313</v>
      </c>
      <c r="M347" s="83">
        <v>0</v>
      </c>
      <c r="N347" s="83">
        <v>0</v>
      </c>
      <c r="O347" s="83">
        <v>0</v>
      </c>
      <c r="P347" s="83">
        <v>0</v>
      </c>
      <c r="Q347" s="83">
        <v>0</v>
      </c>
      <c r="R347" s="83">
        <v>0</v>
      </c>
      <c r="S347" s="83">
        <v>0</v>
      </c>
      <c r="V347" s="114"/>
    </row>
    <row r="348" spans="2:22" ht="13.5">
      <c r="B348" s="139"/>
      <c r="C348" s="160" t="s">
        <v>1318</v>
      </c>
      <c r="D348" s="116"/>
      <c r="E348" s="116">
        <v>5</v>
      </c>
      <c r="F348" s="116">
        <v>0</v>
      </c>
      <c r="G348" s="134">
        <v>0</v>
      </c>
      <c r="H348" s="134">
        <v>0</v>
      </c>
      <c r="I348" s="161">
        <v>0.21</v>
      </c>
      <c r="J348" s="140"/>
      <c r="K348" s="120">
        <v>79</v>
      </c>
      <c r="L348" s="83">
        <v>94</v>
      </c>
      <c r="M348" s="83">
        <v>0</v>
      </c>
      <c r="N348" s="83">
        <v>0</v>
      </c>
      <c r="O348" s="83">
        <v>1</v>
      </c>
      <c r="P348" s="83">
        <v>0</v>
      </c>
      <c r="Q348" s="83">
        <v>0</v>
      </c>
      <c r="R348" s="83">
        <v>1</v>
      </c>
      <c r="S348" s="83">
        <v>0</v>
      </c>
      <c r="V348" s="114"/>
    </row>
    <row r="349" spans="2:22" ht="13.5">
      <c r="B349" s="139"/>
      <c r="C349" s="160" t="s">
        <v>1086</v>
      </c>
      <c r="D349" s="116"/>
      <c r="E349" s="116">
        <v>2</v>
      </c>
      <c r="F349" s="116">
        <v>0</v>
      </c>
      <c r="G349" s="134">
        <v>0</v>
      </c>
      <c r="H349" s="134">
        <v>0</v>
      </c>
      <c r="I349" s="161">
        <v>0.21</v>
      </c>
      <c r="J349" s="140"/>
      <c r="K349" s="120">
        <v>110</v>
      </c>
      <c r="L349" s="83">
        <v>115</v>
      </c>
      <c r="M349" s="83">
        <v>0</v>
      </c>
      <c r="N349" s="83">
        <v>0</v>
      </c>
      <c r="O349" s="83">
        <v>0</v>
      </c>
      <c r="P349" s="83">
        <v>0</v>
      </c>
      <c r="Q349" s="83">
        <v>0</v>
      </c>
      <c r="R349" s="83">
        <v>1</v>
      </c>
      <c r="S349" s="83">
        <v>0</v>
      </c>
      <c r="V349" s="114"/>
    </row>
    <row r="350" spans="2:22" ht="13.5">
      <c r="B350" s="139"/>
      <c r="C350" s="160" t="s">
        <v>1319</v>
      </c>
      <c r="D350" s="116"/>
      <c r="E350" s="116">
        <v>4</v>
      </c>
      <c r="F350" s="116">
        <v>0</v>
      </c>
      <c r="G350" s="134">
        <v>0</v>
      </c>
      <c r="H350" s="134">
        <v>0</v>
      </c>
      <c r="I350" s="161">
        <v>0.21</v>
      </c>
      <c r="J350" s="140"/>
      <c r="K350" s="120">
        <v>86</v>
      </c>
      <c r="L350" s="83">
        <v>98</v>
      </c>
      <c r="M350" s="83">
        <v>0</v>
      </c>
      <c r="N350" s="83">
        <v>0</v>
      </c>
      <c r="O350" s="83">
        <v>0</v>
      </c>
      <c r="P350" s="83">
        <v>0</v>
      </c>
      <c r="Q350" s="83">
        <v>0</v>
      </c>
      <c r="R350" s="83">
        <v>1</v>
      </c>
      <c r="S350" s="83">
        <v>0</v>
      </c>
      <c r="V350" s="114"/>
    </row>
    <row r="351" spans="2:22" ht="13.5">
      <c r="B351" s="139"/>
      <c r="C351" s="160" t="s">
        <v>1320</v>
      </c>
      <c r="D351" s="116"/>
      <c r="E351" s="116">
        <v>0</v>
      </c>
      <c r="F351" s="116">
        <v>0</v>
      </c>
      <c r="G351" s="134">
        <v>0</v>
      </c>
      <c r="H351" s="134">
        <v>0</v>
      </c>
      <c r="I351" s="161">
        <v>0.05</v>
      </c>
      <c r="J351" s="140"/>
      <c r="K351" s="120">
        <v>314</v>
      </c>
      <c r="L351" s="83">
        <v>314</v>
      </c>
      <c r="M351" s="83">
        <v>0</v>
      </c>
      <c r="N351" s="83">
        <v>0</v>
      </c>
      <c r="O351" s="83">
        <v>0</v>
      </c>
      <c r="P351" s="83">
        <v>0</v>
      </c>
      <c r="Q351" s="83">
        <v>0</v>
      </c>
      <c r="R351" s="83">
        <v>0</v>
      </c>
      <c r="S351" s="83">
        <v>0</v>
      </c>
      <c r="V351" s="114"/>
    </row>
    <row r="352" spans="2:22" ht="13.5">
      <c r="B352" s="139"/>
      <c r="C352" s="160" t="s">
        <v>1321</v>
      </c>
      <c r="D352" s="116"/>
      <c r="E352" s="116">
        <v>0</v>
      </c>
      <c r="F352" s="116">
        <v>0</v>
      </c>
      <c r="G352" s="134">
        <v>0</v>
      </c>
      <c r="H352" s="134">
        <v>0</v>
      </c>
      <c r="I352" s="161">
        <v>0</v>
      </c>
      <c r="J352" s="140"/>
      <c r="K352" s="120">
        <v>315</v>
      </c>
      <c r="L352" s="83">
        <v>315</v>
      </c>
      <c r="M352" s="83">
        <v>0</v>
      </c>
      <c r="N352" s="83">
        <v>0</v>
      </c>
      <c r="O352" s="83">
        <v>0</v>
      </c>
      <c r="P352" s="83">
        <v>0</v>
      </c>
      <c r="Q352" s="83">
        <v>0</v>
      </c>
      <c r="R352" s="83">
        <v>0</v>
      </c>
      <c r="S352" s="83">
        <v>0</v>
      </c>
      <c r="V352" s="114"/>
    </row>
    <row r="353" spans="2:22" ht="13.5">
      <c r="B353" s="139"/>
      <c r="C353" s="160" t="s">
        <v>1322</v>
      </c>
      <c r="D353" s="116"/>
      <c r="E353" s="116">
        <v>0</v>
      </c>
      <c r="F353" s="116">
        <v>0</v>
      </c>
      <c r="G353" s="134">
        <v>0</v>
      </c>
      <c r="H353" s="134">
        <v>0</v>
      </c>
      <c r="I353" s="161">
        <v>0.28</v>
      </c>
      <c r="J353" s="140"/>
      <c r="K353" s="120">
        <v>316</v>
      </c>
      <c r="L353" s="83">
        <v>316</v>
      </c>
      <c r="M353" s="83">
        <v>0</v>
      </c>
      <c r="N353" s="83">
        <v>0</v>
      </c>
      <c r="O353" s="83">
        <v>0</v>
      </c>
      <c r="P353" s="83">
        <v>0</v>
      </c>
      <c r="Q353" s="83">
        <v>0</v>
      </c>
      <c r="R353" s="83">
        <v>0</v>
      </c>
      <c r="S353" s="83">
        <v>0</v>
      </c>
      <c r="V353" s="114"/>
    </row>
    <row r="354" spans="2:22" ht="13.5">
      <c r="B354" s="139"/>
      <c r="C354" s="160" t="s">
        <v>1323</v>
      </c>
      <c r="D354" s="116"/>
      <c r="E354" s="116">
        <v>0</v>
      </c>
      <c r="F354" s="116">
        <v>0</v>
      </c>
      <c r="G354" s="134">
        <v>0</v>
      </c>
      <c r="H354" s="134">
        <v>0</v>
      </c>
      <c r="I354" s="161">
        <v>0</v>
      </c>
      <c r="J354" s="140"/>
      <c r="K354" s="120">
        <v>317</v>
      </c>
      <c r="L354" s="83">
        <v>317</v>
      </c>
      <c r="M354" s="83">
        <v>0</v>
      </c>
      <c r="N354" s="83">
        <v>0</v>
      </c>
      <c r="O354" s="83">
        <v>0</v>
      </c>
      <c r="P354" s="83">
        <v>0</v>
      </c>
      <c r="Q354" s="83">
        <v>0</v>
      </c>
      <c r="R354" s="83">
        <v>0</v>
      </c>
      <c r="S354" s="83">
        <v>0</v>
      </c>
      <c r="V354" s="114"/>
    </row>
    <row r="355" spans="2:22" ht="13.5">
      <c r="B355" s="139"/>
      <c r="C355" s="160" t="s">
        <v>411</v>
      </c>
      <c r="D355" s="116"/>
      <c r="E355" s="116">
        <v>77</v>
      </c>
      <c r="F355" s="116">
        <v>9</v>
      </c>
      <c r="G355" s="134">
        <v>0.016885553470919325</v>
      </c>
      <c r="H355" s="134">
        <v>0.11688311688311688</v>
      </c>
      <c r="I355" s="161">
        <v>0.16</v>
      </c>
      <c r="J355" s="140"/>
      <c r="K355" s="120">
        <v>9</v>
      </c>
      <c r="L355" s="83">
        <v>15</v>
      </c>
      <c r="M355" s="83">
        <v>0</v>
      </c>
      <c r="N355" s="83">
        <v>1</v>
      </c>
      <c r="O355" s="83">
        <v>0</v>
      </c>
      <c r="P355" s="83">
        <v>0</v>
      </c>
      <c r="Q355" s="83">
        <v>0</v>
      </c>
      <c r="R355" s="83">
        <v>1</v>
      </c>
      <c r="S355" s="83">
        <v>1</v>
      </c>
      <c r="V355" s="114"/>
    </row>
    <row r="356" spans="2:22" ht="13.5">
      <c r="B356" s="139"/>
      <c r="C356" s="160" t="s">
        <v>1324</v>
      </c>
      <c r="D356" s="116"/>
      <c r="E356" s="116">
        <v>0</v>
      </c>
      <c r="F356" s="116">
        <v>0</v>
      </c>
      <c r="G356" s="134">
        <v>0</v>
      </c>
      <c r="H356" s="134">
        <v>0</v>
      </c>
      <c r="I356" s="161">
        <v>0.32</v>
      </c>
      <c r="J356" s="140"/>
      <c r="K356" s="120">
        <v>318</v>
      </c>
      <c r="L356" s="83">
        <v>318</v>
      </c>
      <c r="M356" s="83">
        <v>0</v>
      </c>
      <c r="N356" s="83">
        <v>0</v>
      </c>
      <c r="O356" s="83">
        <v>0</v>
      </c>
      <c r="P356" s="83">
        <v>0</v>
      </c>
      <c r="Q356" s="83">
        <v>0</v>
      </c>
      <c r="R356" s="83">
        <v>0</v>
      </c>
      <c r="S356" s="83">
        <v>0</v>
      </c>
      <c r="V356" s="114"/>
    </row>
    <row r="357" spans="2:22" ht="13.5">
      <c r="B357" s="139"/>
      <c r="C357" s="160" t="s">
        <v>1087</v>
      </c>
      <c r="D357" s="116"/>
      <c r="E357" s="116">
        <v>55</v>
      </c>
      <c r="F357" s="116">
        <v>7</v>
      </c>
      <c r="G357" s="134">
        <v>0.013133208255159476</v>
      </c>
      <c r="H357" s="134">
        <v>0.12727272727272726</v>
      </c>
      <c r="I357" s="161">
        <v>0.17</v>
      </c>
      <c r="J357" s="140"/>
      <c r="K357" s="120">
        <v>20</v>
      </c>
      <c r="L357" s="83">
        <v>19</v>
      </c>
      <c r="M357" s="83">
        <v>0</v>
      </c>
      <c r="N357" s="83">
        <v>0</v>
      </c>
      <c r="O357" s="83">
        <v>0</v>
      </c>
      <c r="P357" s="83">
        <v>0</v>
      </c>
      <c r="Q357" s="83">
        <v>0</v>
      </c>
      <c r="R357" s="83">
        <v>1</v>
      </c>
      <c r="S357" s="83">
        <v>1</v>
      </c>
      <c r="V357" s="114"/>
    </row>
    <row r="358" spans="2:22" ht="13.5">
      <c r="B358" s="139"/>
      <c r="C358" s="162" t="s">
        <v>1325</v>
      </c>
      <c r="D358" s="163"/>
      <c r="E358" s="163">
        <v>0</v>
      </c>
      <c r="F358" s="163">
        <v>0</v>
      </c>
      <c r="G358" s="164">
        <v>0</v>
      </c>
      <c r="H358" s="164">
        <v>0</v>
      </c>
      <c r="I358" s="165">
        <v>0.21</v>
      </c>
      <c r="J358" s="140"/>
      <c r="K358" s="120">
        <v>319</v>
      </c>
      <c r="L358" s="83">
        <v>319</v>
      </c>
      <c r="M358" s="83">
        <v>0</v>
      </c>
      <c r="N358" s="83">
        <v>0</v>
      </c>
      <c r="O358" s="83">
        <v>0</v>
      </c>
      <c r="P358" s="83">
        <v>0</v>
      </c>
      <c r="Q358" s="83">
        <v>0</v>
      </c>
      <c r="R358" s="83">
        <v>0</v>
      </c>
      <c r="S358" s="83">
        <v>0</v>
      </c>
      <c r="V358" s="114"/>
    </row>
    <row r="359" spans="2:10" ht="14.25" thickBot="1">
      <c r="B359" s="144"/>
      <c r="C359" s="145"/>
      <c r="D359" s="145"/>
      <c r="E359" s="145"/>
      <c r="F359" s="145"/>
      <c r="G359" s="146"/>
      <c r="H359" s="145"/>
      <c r="I359" s="145"/>
      <c r="J359" s="147"/>
    </row>
  </sheetData>
  <sheetProtection/>
  <autoFilter ref="C39:S358">
    <sortState ref="C40:S359">
      <sortCondition sortBy="value" ref="C40:C359"/>
    </sortState>
  </autoFilter>
  <dataValidations count="10">
    <dataValidation allowBlank="1" showInputMessage="1" showErrorMessage="1" promptTitle="% total accepts" prompt="the percentage of acceptances out of the total acceptances" sqref="G38:G39"/>
    <dataValidation allowBlank="1" showInputMessage="1" showErrorMessage="1" promptTitle="accepts" prompt="the number of applicants that accepted a place at an institution" sqref="F39"/>
    <dataValidation allowBlank="1" showInputMessage="1" showErrorMessage="1" promptTitle="choices" prompt="the number of choices made by your applicants through the mainscheme, these are the applications listed in the application form" sqref="E39"/>
    <dataValidation allowBlank="1" showInputMessage="1" showErrorMessage="1" promptTitle="nationally choice:accept ratio" prompt="a ratio showing the number of applications to the number of acceptances for UCAS" sqref="I39"/>
    <dataValidation allowBlank="1" showInputMessage="1" showErrorMessage="1" promptTitle="my centre choice:accept ratio" prompt="a ratio showing the number of applications to the number of acceptances for your centre" sqref="H39"/>
    <dataValidation allowBlank="1" showInputMessage="1" showErrorMessage="1" promptTitle="accepts" prompt="The number of applicants who accepted a place" sqref="F18 F38"/>
    <dataValidation allowBlank="1" showInputMessage="1" showErrorMessage="1" promptTitle="applicants" prompt="the number of applicants with your centre code that applied to UCAS" sqref="D18"/>
    <dataValidation allowBlank="1" showInputMessage="1" showErrorMessage="1" promptTitle="choices" prompt="the number of choices (applications) the applicants made" sqref="E18 E38"/>
    <dataValidation allowBlank="1" showInputMessage="1" showErrorMessage="1" promptTitle="national percentage" prompt="For UCAS the percentage of total choices that were accepted at each university" sqref="I38"/>
    <dataValidation allowBlank="1" showInputMessage="1" showErrorMessage="1" promptTitle="my centre percentage" prompt="For your centre the percentage of total choices that were accepted at each university" sqref="H38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009FEE"/>
  </sheetPr>
  <dimension ref="B4:U250"/>
  <sheetViews>
    <sheetView showGridLines="0" showRowColHeaders="0" zoomScalePageLayoutView="0" workbookViewId="0" topLeftCell="A1">
      <selection activeCell="D11" sqref="D11"/>
    </sheetView>
  </sheetViews>
  <sheetFormatPr defaultColWidth="9.140625" defaultRowHeight="12.75"/>
  <cols>
    <col min="1" max="1" width="9.140625" style="6" customWidth="1"/>
    <col min="2" max="2" width="2.421875" style="6" customWidth="1"/>
    <col min="3" max="3" width="19.421875" style="6" customWidth="1"/>
    <col min="4" max="4" width="47.8515625" style="6" customWidth="1"/>
    <col min="5" max="6" width="13.7109375" style="6" customWidth="1"/>
    <col min="7" max="7" width="14.57421875" style="6" bestFit="1" customWidth="1"/>
    <col min="8" max="8" width="20.57421875" style="200" bestFit="1" customWidth="1"/>
    <col min="9" max="9" width="11.8515625" style="200" customWidth="1"/>
    <col min="10" max="12" width="9.140625" style="83" customWidth="1"/>
    <col min="13" max="13" width="15.8515625" style="83" bestFit="1" customWidth="1"/>
    <col min="14" max="14" width="16.00390625" style="83" bestFit="1" customWidth="1"/>
    <col min="15" max="20" width="9.140625" style="83" customWidth="1"/>
    <col min="21" max="21" width="9.140625" style="201" customWidth="1"/>
    <col min="22" max="16384" width="9.140625" style="6" customWidth="1"/>
  </cols>
  <sheetData>
    <row r="1" ht="12.75"/>
    <row r="2" ht="12.75"/>
    <row r="3" ht="12.75"/>
    <row r="4" ht="15.75">
      <c r="C4" s="48" t="s">
        <v>274</v>
      </c>
    </row>
    <row r="5" ht="12.75">
      <c r="J5" s="9" t="s">
        <v>1622</v>
      </c>
    </row>
    <row r="6" ht="14.25" thickBot="1"/>
    <row r="7" spans="2:17" ht="13.5">
      <c r="B7" s="49"/>
      <c r="C7" s="50"/>
      <c r="D7" s="50"/>
      <c r="E7" s="50"/>
      <c r="F7" s="50"/>
      <c r="G7" s="50"/>
      <c r="H7" s="202"/>
      <c r="I7" s="202"/>
      <c r="J7" s="203"/>
      <c r="N7" s="83" t="s">
        <v>1039</v>
      </c>
      <c r="O7" s="115"/>
      <c r="P7" s="115"/>
      <c r="Q7" s="115" t="s">
        <v>1038</v>
      </c>
    </row>
    <row r="8" spans="2:19" ht="13.5">
      <c r="B8" s="52"/>
      <c r="C8" s="10"/>
      <c r="D8" s="10"/>
      <c r="E8" s="10"/>
      <c r="F8" s="10"/>
      <c r="G8" s="10"/>
      <c r="H8" s="204"/>
      <c r="I8" s="204"/>
      <c r="J8" s="205"/>
      <c r="M8" s="83" t="s">
        <v>1037</v>
      </c>
      <c r="N8" s="115" t="s">
        <v>1035</v>
      </c>
      <c r="O8" s="115" t="s">
        <v>1033</v>
      </c>
      <c r="P8" s="115" t="s">
        <v>1034</v>
      </c>
      <c r="Q8" s="115" t="s">
        <v>1035</v>
      </c>
      <c r="R8" s="115" t="s">
        <v>1033</v>
      </c>
      <c r="S8" s="115" t="s">
        <v>1034</v>
      </c>
    </row>
    <row r="9" spans="2:19" ht="13.5">
      <c r="B9" s="52"/>
      <c r="C9" s="15" t="s">
        <v>162</v>
      </c>
      <c r="D9" s="13"/>
      <c r="E9" s="13"/>
      <c r="F9" s="10"/>
      <c r="G9" s="10"/>
      <c r="H9" s="204"/>
      <c r="I9" s="204"/>
      <c r="J9" s="205"/>
      <c r="L9" s="83" t="s">
        <v>1046</v>
      </c>
      <c r="M9" s="83">
        <v>1</v>
      </c>
      <c r="N9" s="120">
        <v>623</v>
      </c>
      <c r="O9" s="120">
        <v>2756</v>
      </c>
      <c r="P9" s="120">
        <v>533</v>
      </c>
      <c r="Q9" s="120">
        <v>700161</v>
      </c>
      <c r="R9" s="120">
        <v>2847015</v>
      </c>
      <c r="S9" s="120">
        <v>492030</v>
      </c>
    </row>
    <row r="10" spans="2:19" ht="13.5">
      <c r="B10" s="52"/>
      <c r="C10" s="53" t="s">
        <v>292</v>
      </c>
      <c r="D10" s="13"/>
      <c r="E10" s="13"/>
      <c r="F10" s="10"/>
      <c r="G10" s="10"/>
      <c r="H10" s="204"/>
      <c r="I10" s="204"/>
      <c r="J10" s="205"/>
      <c r="L10" s="83" t="s">
        <v>1047</v>
      </c>
      <c r="N10" s="120">
        <v>623</v>
      </c>
      <c r="O10" s="120">
        <v>2756</v>
      </c>
      <c r="P10" s="120">
        <v>533</v>
      </c>
      <c r="Q10" s="120">
        <v>700161</v>
      </c>
      <c r="R10" s="120">
        <v>2847015</v>
      </c>
      <c r="S10" s="120">
        <v>492030</v>
      </c>
    </row>
    <row r="11" spans="2:19" ht="13.5">
      <c r="B11" s="52"/>
      <c r="C11" s="53"/>
      <c r="D11" s="13"/>
      <c r="E11" s="13"/>
      <c r="F11" s="10"/>
      <c r="G11" s="10"/>
      <c r="H11" s="204"/>
      <c r="I11" s="204"/>
      <c r="J11" s="205"/>
      <c r="L11" s="83" t="s">
        <v>1048</v>
      </c>
      <c r="N11" s="120">
        <v>623</v>
      </c>
      <c r="O11" s="120">
        <v>2756</v>
      </c>
      <c r="P11" s="120">
        <v>533</v>
      </c>
      <c r="Q11" s="120">
        <v>700161</v>
      </c>
      <c r="R11" s="120">
        <v>2847015</v>
      </c>
      <c r="S11" s="120">
        <v>492030</v>
      </c>
    </row>
    <row r="12" spans="2:19" ht="13.5">
      <c r="B12" s="52"/>
      <c r="C12" s="53" t="s">
        <v>1613</v>
      </c>
      <c r="D12" s="13"/>
      <c r="E12" s="13"/>
      <c r="F12" s="10"/>
      <c r="G12" s="10"/>
      <c r="H12" s="204"/>
      <c r="I12" s="204"/>
      <c r="J12" s="205"/>
      <c r="L12" s="83" t="s">
        <v>1051</v>
      </c>
      <c r="N12" s="120">
        <v>623</v>
      </c>
      <c r="O12" s="120">
        <v>2756</v>
      </c>
      <c r="P12" s="120">
        <v>533</v>
      </c>
      <c r="Q12" s="120">
        <v>700161</v>
      </c>
      <c r="R12" s="120">
        <v>2847015</v>
      </c>
      <c r="S12" s="120">
        <v>492030</v>
      </c>
    </row>
    <row r="13" spans="2:19" ht="13.5">
      <c r="B13" s="52"/>
      <c r="C13" s="53" t="s">
        <v>1614</v>
      </c>
      <c r="D13" s="13"/>
      <c r="E13" s="13"/>
      <c r="F13" s="10"/>
      <c r="G13" s="10"/>
      <c r="H13" s="204"/>
      <c r="I13" s="204"/>
      <c r="J13" s="205"/>
      <c r="L13" s="83" t="s">
        <v>1052</v>
      </c>
      <c r="N13" s="120">
        <v>623</v>
      </c>
      <c r="O13" s="120">
        <v>2756</v>
      </c>
      <c r="P13" s="120">
        <v>533</v>
      </c>
      <c r="Q13" s="120">
        <v>700161</v>
      </c>
      <c r="R13" s="120">
        <v>2847015</v>
      </c>
      <c r="S13" s="120">
        <v>492030</v>
      </c>
    </row>
    <row r="14" spans="2:19" ht="13.5">
      <c r="B14" s="52"/>
      <c r="C14" s="53"/>
      <c r="D14" s="13"/>
      <c r="E14" s="13"/>
      <c r="F14" s="10"/>
      <c r="G14" s="10"/>
      <c r="H14" s="204"/>
      <c r="I14" s="204"/>
      <c r="J14" s="205"/>
      <c r="L14" s="83" t="s">
        <v>1096</v>
      </c>
      <c r="N14" s="120">
        <v>541</v>
      </c>
      <c r="O14" s="120">
        <v>2072</v>
      </c>
      <c r="P14" s="120">
        <v>437</v>
      </c>
      <c r="Q14" s="121">
        <v>302348</v>
      </c>
      <c r="R14" s="121">
        <v>552635</v>
      </c>
      <c r="S14" s="121">
        <v>103904</v>
      </c>
    </row>
    <row r="15" spans="2:19" ht="15">
      <c r="B15" s="52"/>
      <c r="C15" s="122" t="s">
        <v>1091</v>
      </c>
      <c r="D15" s="141" t="s">
        <v>1326</v>
      </c>
      <c r="E15" s="13"/>
      <c r="F15" s="10"/>
      <c r="G15" s="10"/>
      <c r="H15" s="204"/>
      <c r="I15" s="204"/>
      <c r="J15" s="205"/>
      <c r="L15" s="83" t="s">
        <v>1097</v>
      </c>
      <c r="N15" s="120">
        <v>465</v>
      </c>
      <c r="O15" s="120">
        <v>1992</v>
      </c>
      <c r="P15" s="120">
        <v>448</v>
      </c>
      <c r="Q15" s="121">
        <v>289231</v>
      </c>
      <c r="R15" s="121">
        <v>645754</v>
      </c>
      <c r="S15" s="121">
        <v>91604</v>
      </c>
    </row>
    <row r="16" spans="2:19" ht="15">
      <c r="B16" s="52"/>
      <c r="C16" s="122" t="s">
        <v>1036</v>
      </c>
      <c r="D16" s="141" t="str">
        <f ca="1">OFFSET(L9,MATCH(C17,M9:M20,0)-1,0)</f>
        <v>None</v>
      </c>
      <c r="E16" s="142"/>
      <c r="F16" s="116"/>
      <c r="G16" s="117"/>
      <c r="H16" s="116"/>
      <c r="I16" s="116"/>
      <c r="J16" s="205"/>
      <c r="L16" s="83" t="s">
        <v>1098</v>
      </c>
      <c r="N16" s="120">
        <v>356</v>
      </c>
      <c r="O16" s="120">
        <v>970</v>
      </c>
      <c r="P16" s="120">
        <v>186</v>
      </c>
      <c r="Q16" s="121">
        <v>294096</v>
      </c>
      <c r="R16" s="121">
        <v>517806</v>
      </c>
      <c r="S16" s="121">
        <v>98422</v>
      </c>
    </row>
    <row r="17" spans="2:19" ht="13.5">
      <c r="B17" s="52"/>
      <c r="C17" s="124">
        <v>1</v>
      </c>
      <c r="D17" s="116"/>
      <c r="E17" s="116"/>
      <c r="F17" s="116"/>
      <c r="G17" s="117"/>
      <c r="H17" s="116"/>
      <c r="I17" s="116"/>
      <c r="J17" s="205"/>
      <c r="L17" s="83" t="s">
        <v>1099</v>
      </c>
      <c r="N17" s="120">
        <v>349</v>
      </c>
      <c r="O17" s="120">
        <v>826</v>
      </c>
      <c r="P17" s="120">
        <v>213</v>
      </c>
      <c r="Q17" s="121">
        <v>205328</v>
      </c>
      <c r="R17" s="121">
        <v>317816</v>
      </c>
      <c r="S17" s="121">
        <v>50094</v>
      </c>
    </row>
    <row r="18" spans="2:19" ht="13.5">
      <c r="B18" s="52"/>
      <c r="C18" s="148"/>
      <c r="D18" s="206" t="s">
        <v>71</v>
      </c>
      <c r="E18" s="150" t="s">
        <v>46</v>
      </c>
      <c r="F18" s="150" t="s">
        <v>47</v>
      </c>
      <c r="G18" s="143" t="s">
        <v>71</v>
      </c>
      <c r="H18" s="123" t="s">
        <v>46</v>
      </c>
      <c r="I18" s="116"/>
      <c r="J18" s="205"/>
      <c r="N18" s="120"/>
      <c r="O18" s="120"/>
      <c r="P18" s="120"/>
      <c r="Q18" s="121"/>
      <c r="R18" s="121"/>
      <c r="S18" s="121"/>
    </row>
    <row r="19" spans="2:19" ht="13.5">
      <c r="B19" s="52"/>
      <c r="C19" s="53" t="s">
        <v>1354</v>
      </c>
      <c r="D19" s="53">
        <f>VLOOKUP($C$17,$M$9:$S$20,2,FALSE)</f>
        <v>623</v>
      </c>
      <c r="E19" s="53">
        <f>VLOOKUP($C$17,$M$9:$S$20,3,FALSE)</f>
        <v>2756</v>
      </c>
      <c r="F19" s="53">
        <f>VLOOKUP($C$17,$M$9:$S$20,4,FALSE)</f>
        <v>533</v>
      </c>
      <c r="G19" s="126">
        <f>F19/D19*100</f>
        <v>85.553772070626</v>
      </c>
      <c r="H19" s="126">
        <f>F19/E19*100</f>
        <v>19.339622641509436</v>
      </c>
      <c r="I19" s="116"/>
      <c r="J19" s="205"/>
      <c r="N19" s="120"/>
      <c r="O19" s="120"/>
      <c r="P19" s="120"/>
      <c r="Q19" s="121"/>
      <c r="R19" s="121"/>
      <c r="S19" s="121"/>
    </row>
    <row r="20" spans="2:19" ht="13.5">
      <c r="B20" s="52"/>
      <c r="C20" s="53" t="s">
        <v>5</v>
      </c>
      <c r="D20" s="53">
        <f>VLOOKUP($C$17,$M$9:$S$20,5,FALSE)</f>
        <v>700161</v>
      </c>
      <c r="E20" s="53">
        <f>VLOOKUP($C$17,$M$9:$S$20,6,FALSE)</f>
        <v>2847015</v>
      </c>
      <c r="F20" s="53">
        <f>VLOOKUP($C$17,$M$9:$S$20,7,FALSE)</f>
        <v>492030</v>
      </c>
      <c r="G20" s="126">
        <f>F20/D20*100</f>
        <v>70.27383701748597</v>
      </c>
      <c r="H20" s="126">
        <f>F20/E20*100</f>
        <v>17.282311473596028</v>
      </c>
      <c r="I20" s="116"/>
      <c r="J20" s="205"/>
      <c r="N20" s="120"/>
      <c r="O20" s="120"/>
      <c r="P20" s="120"/>
      <c r="Q20" s="121"/>
      <c r="R20" s="121"/>
      <c r="S20" s="121"/>
    </row>
    <row r="21" spans="2:19" ht="13.5">
      <c r="B21" s="52"/>
      <c r="C21" s="53"/>
      <c r="D21" s="53"/>
      <c r="E21" s="119"/>
      <c r="F21" s="116"/>
      <c r="G21" s="117"/>
      <c r="H21" s="116"/>
      <c r="I21" s="116"/>
      <c r="J21" s="205"/>
      <c r="Q21" s="121"/>
      <c r="R21" s="121"/>
      <c r="S21" s="121"/>
    </row>
    <row r="22" spans="2:19" ht="13.5">
      <c r="B22" s="52"/>
      <c r="C22" s="53"/>
      <c r="D22" s="53"/>
      <c r="E22" s="119"/>
      <c r="F22" s="116"/>
      <c r="G22" s="117"/>
      <c r="H22" s="116"/>
      <c r="I22" s="116"/>
      <c r="J22" s="205"/>
      <c r="Q22" s="121"/>
      <c r="R22" s="121"/>
      <c r="S22" s="121"/>
    </row>
    <row r="23" spans="2:19" ht="13.5">
      <c r="B23" s="52"/>
      <c r="C23" s="53"/>
      <c r="D23" s="53"/>
      <c r="E23" s="119"/>
      <c r="F23" s="116"/>
      <c r="G23" s="117"/>
      <c r="H23" s="116"/>
      <c r="I23" s="116"/>
      <c r="J23" s="205"/>
      <c r="Q23" s="121"/>
      <c r="R23" s="121"/>
      <c r="S23" s="121"/>
    </row>
    <row r="24" spans="2:10" ht="13.5">
      <c r="B24" s="52"/>
      <c r="C24" s="53"/>
      <c r="D24" s="53"/>
      <c r="E24" s="119"/>
      <c r="F24" s="116"/>
      <c r="G24" s="117"/>
      <c r="H24" s="116"/>
      <c r="I24" s="116"/>
      <c r="J24" s="205"/>
    </row>
    <row r="25" spans="2:19" ht="13.5">
      <c r="B25" s="52"/>
      <c r="C25" s="53"/>
      <c r="D25" s="53"/>
      <c r="E25" s="119"/>
      <c r="F25" s="116"/>
      <c r="G25" s="117"/>
      <c r="H25" s="116"/>
      <c r="I25" s="116"/>
      <c r="J25" s="205"/>
      <c r="Q25" s="121"/>
      <c r="R25" s="121"/>
      <c r="S25" s="121"/>
    </row>
    <row r="26" spans="2:19" ht="13.5">
      <c r="B26" s="52"/>
      <c r="C26" s="53"/>
      <c r="D26" s="53"/>
      <c r="E26" s="119"/>
      <c r="F26" s="116"/>
      <c r="G26" s="117"/>
      <c r="H26" s="116"/>
      <c r="I26" s="116"/>
      <c r="J26" s="205"/>
      <c r="Q26" s="121"/>
      <c r="R26" s="121"/>
      <c r="S26" s="121"/>
    </row>
    <row r="27" spans="2:19" ht="13.5">
      <c r="B27" s="52"/>
      <c r="C27" s="53"/>
      <c r="D27" s="53"/>
      <c r="E27" s="119"/>
      <c r="F27" s="116"/>
      <c r="G27" s="117"/>
      <c r="H27" s="116"/>
      <c r="I27" s="116"/>
      <c r="J27" s="205"/>
      <c r="Q27" s="121"/>
      <c r="R27" s="121"/>
      <c r="S27" s="121"/>
    </row>
    <row r="28" spans="2:19" ht="13.5">
      <c r="B28" s="52"/>
      <c r="C28" s="53"/>
      <c r="D28" s="53"/>
      <c r="E28" s="119"/>
      <c r="F28" s="116"/>
      <c r="G28" s="117"/>
      <c r="H28" s="116"/>
      <c r="I28" s="116"/>
      <c r="J28" s="205"/>
      <c r="Q28" s="121"/>
      <c r="R28" s="121"/>
      <c r="S28" s="121"/>
    </row>
    <row r="29" spans="2:10" ht="13.5">
      <c r="B29" s="52"/>
      <c r="C29" s="53"/>
      <c r="D29" s="53"/>
      <c r="E29" s="119"/>
      <c r="F29" s="116"/>
      <c r="G29" s="117"/>
      <c r="H29" s="116"/>
      <c r="I29" s="116"/>
      <c r="J29" s="205"/>
    </row>
    <row r="30" spans="2:10" ht="13.5">
      <c r="B30" s="52"/>
      <c r="C30" s="53"/>
      <c r="D30" s="53"/>
      <c r="E30" s="119"/>
      <c r="F30" s="116"/>
      <c r="G30" s="117"/>
      <c r="H30" s="116"/>
      <c r="I30" s="116"/>
      <c r="J30" s="205"/>
    </row>
    <row r="31" spans="2:10" ht="13.5">
      <c r="B31" s="52"/>
      <c r="C31" s="53"/>
      <c r="D31" s="53"/>
      <c r="E31" s="119"/>
      <c r="F31" s="116"/>
      <c r="G31" s="117"/>
      <c r="H31" s="116"/>
      <c r="I31" s="116"/>
      <c r="J31" s="205"/>
    </row>
    <row r="32" spans="2:10" ht="13.5">
      <c r="B32" s="52"/>
      <c r="C32" s="53"/>
      <c r="D32" s="53"/>
      <c r="E32" s="119"/>
      <c r="F32" s="116"/>
      <c r="G32" s="117"/>
      <c r="H32" s="116"/>
      <c r="I32" s="116"/>
      <c r="J32" s="205"/>
    </row>
    <row r="33" spans="2:10" ht="13.5">
      <c r="B33" s="52"/>
      <c r="C33" s="53"/>
      <c r="D33" s="53"/>
      <c r="E33" s="119"/>
      <c r="F33" s="116"/>
      <c r="G33" s="117"/>
      <c r="H33" s="116"/>
      <c r="I33" s="116"/>
      <c r="J33" s="205"/>
    </row>
    <row r="34" spans="2:10" ht="13.5">
      <c r="B34" s="52"/>
      <c r="C34" s="53"/>
      <c r="D34" s="53"/>
      <c r="E34" s="119"/>
      <c r="F34" s="116"/>
      <c r="G34" s="117"/>
      <c r="H34" s="116"/>
      <c r="I34" s="116"/>
      <c r="J34" s="205"/>
    </row>
    <row r="35" spans="2:10" ht="13.5">
      <c r="B35" s="52"/>
      <c r="C35" s="53"/>
      <c r="D35" s="53"/>
      <c r="E35" s="119"/>
      <c r="F35" s="116"/>
      <c r="G35" s="117"/>
      <c r="H35" s="116"/>
      <c r="I35" s="116"/>
      <c r="J35" s="205"/>
    </row>
    <row r="36" spans="2:10" ht="13.5">
      <c r="B36" s="52"/>
      <c r="C36" s="53"/>
      <c r="D36" s="13"/>
      <c r="E36" s="13"/>
      <c r="F36" s="10"/>
      <c r="G36" s="10"/>
      <c r="H36" s="204"/>
      <c r="I36" s="204"/>
      <c r="J36" s="205"/>
    </row>
    <row r="37" spans="2:10" ht="13.5">
      <c r="B37" s="52"/>
      <c r="C37" s="76" t="s">
        <v>279</v>
      </c>
      <c r="D37" s="13"/>
      <c r="E37" s="13"/>
      <c r="F37" s="10"/>
      <c r="G37" s="10"/>
      <c r="H37" s="204"/>
      <c r="I37" s="204"/>
      <c r="J37" s="205"/>
    </row>
    <row r="38" spans="2:10" ht="13.5">
      <c r="B38" s="52"/>
      <c r="C38" s="151" t="s">
        <v>8</v>
      </c>
      <c r="D38" s="151"/>
      <c r="E38" s="153" t="s">
        <v>46</v>
      </c>
      <c r="F38" s="153" t="s">
        <v>47</v>
      </c>
      <c r="G38" s="154" t="s">
        <v>163</v>
      </c>
      <c r="H38" s="155" t="s">
        <v>1354</v>
      </c>
      <c r="I38" s="156" t="s">
        <v>7</v>
      </c>
      <c r="J38" s="205"/>
    </row>
    <row r="39" spans="2:18" ht="13.5" hidden="1">
      <c r="B39" s="52"/>
      <c r="C39" s="127" t="s">
        <v>1089</v>
      </c>
      <c r="D39" s="127" t="s">
        <v>1090</v>
      </c>
      <c r="E39" s="129" t="s">
        <v>46</v>
      </c>
      <c r="F39" s="129" t="s">
        <v>47</v>
      </c>
      <c r="G39" s="127" t="s">
        <v>163</v>
      </c>
      <c r="H39" s="131" t="s">
        <v>1354</v>
      </c>
      <c r="I39" s="131" t="s">
        <v>7</v>
      </c>
      <c r="J39" s="205" t="s">
        <v>412</v>
      </c>
      <c r="K39" s="83" t="s">
        <v>1089</v>
      </c>
      <c r="L39" s="83" t="s">
        <v>1090</v>
      </c>
      <c r="M39" s="120" t="s">
        <v>1092</v>
      </c>
      <c r="N39" s="120" t="s">
        <v>1093</v>
      </c>
      <c r="O39" s="120" t="s">
        <v>1094</v>
      </c>
      <c r="P39" s="120" t="s">
        <v>1095</v>
      </c>
      <c r="Q39" s="120" t="s">
        <v>1055</v>
      </c>
      <c r="R39" s="120" t="s">
        <v>1056</v>
      </c>
    </row>
    <row r="40" spans="2:21" s="214" customFormat="1" ht="13.5">
      <c r="B40" s="207"/>
      <c r="C40" s="96" t="s">
        <v>9</v>
      </c>
      <c r="D40" s="97"/>
      <c r="E40" s="208">
        <v>18</v>
      </c>
      <c r="F40" s="208">
        <v>5</v>
      </c>
      <c r="G40" s="209">
        <v>0.009380863039399626</v>
      </c>
      <c r="H40" s="209">
        <v>0.2777777777777778</v>
      </c>
      <c r="I40" s="210">
        <v>0.097</v>
      </c>
      <c r="J40" s="211">
        <v>1</v>
      </c>
      <c r="K40" s="212">
        <v>1</v>
      </c>
      <c r="L40" s="212">
        <v>0</v>
      </c>
      <c r="M40" s="212">
        <v>22</v>
      </c>
      <c r="N40" s="212">
        <v>16</v>
      </c>
      <c r="O40" s="212">
        <v>0</v>
      </c>
      <c r="P40" s="212">
        <v>0</v>
      </c>
      <c r="Q40" s="212">
        <v>1</v>
      </c>
      <c r="R40" s="212">
        <v>1</v>
      </c>
      <c r="S40" s="212"/>
      <c r="T40" s="212"/>
      <c r="U40" s="213"/>
    </row>
    <row r="41" spans="2:18" ht="13.5">
      <c r="B41" s="52"/>
      <c r="C41" s="63"/>
      <c r="D41" s="10" t="s">
        <v>48</v>
      </c>
      <c r="E41" s="46">
        <v>9</v>
      </c>
      <c r="F41" s="46">
        <v>6</v>
      </c>
      <c r="G41" s="215">
        <v>0.01125703564727955</v>
      </c>
      <c r="H41" s="215">
        <v>0.6666666666666666</v>
      </c>
      <c r="I41" s="216">
        <v>0.096</v>
      </c>
      <c r="J41" s="211">
        <v>2</v>
      </c>
      <c r="K41" s="212">
        <v>0</v>
      </c>
      <c r="L41" s="212">
        <v>1</v>
      </c>
      <c r="M41" s="83">
        <v>0</v>
      </c>
      <c r="N41" s="212">
        <v>0</v>
      </c>
      <c r="O41" s="212">
        <v>74</v>
      </c>
      <c r="P41" s="83">
        <v>33</v>
      </c>
      <c r="Q41" s="212">
        <v>1</v>
      </c>
      <c r="R41" s="212">
        <v>1</v>
      </c>
    </row>
    <row r="42" spans="2:18" ht="13.5">
      <c r="B42" s="52"/>
      <c r="C42" s="63"/>
      <c r="D42" s="10" t="s">
        <v>164</v>
      </c>
      <c r="E42" s="46">
        <v>6</v>
      </c>
      <c r="F42" s="46">
        <v>2</v>
      </c>
      <c r="G42" s="215">
        <v>0.00375234521575985</v>
      </c>
      <c r="H42" s="215">
        <v>0.3333333333333333</v>
      </c>
      <c r="I42" s="216">
        <v>0.103</v>
      </c>
      <c r="J42" s="211">
        <v>3</v>
      </c>
      <c r="K42" s="212">
        <v>0</v>
      </c>
      <c r="L42" s="212">
        <v>1</v>
      </c>
      <c r="M42" s="83">
        <v>0</v>
      </c>
      <c r="N42" s="212">
        <v>0</v>
      </c>
      <c r="O42" s="212">
        <v>84</v>
      </c>
      <c r="P42" s="83">
        <v>71</v>
      </c>
      <c r="Q42" s="212">
        <v>1</v>
      </c>
      <c r="R42" s="212">
        <v>1</v>
      </c>
    </row>
    <row r="43" spans="2:18" ht="13.5">
      <c r="B43" s="52"/>
      <c r="C43" s="63"/>
      <c r="D43" s="10" t="s">
        <v>165</v>
      </c>
      <c r="E43" s="46">
        <v>3</v>
      </c>
      <c r="F43" s="46">
        <v>0</v>
      </c>
      <c r="G43" s="215">
        <v>0</v>
      </c>
      <c r="H43" s="215">
        <v>0</v>
      </c>
      <c r="I43" s="216">
        <v>0.074</v>
      </c>
      <c r="J43" s="211">
        <v>4</v>
      </c>
      <c r="K43" s="212">
        <v>0</v>
      </c>
      <c r="L43" s="212">
        <v>1</v>
      </c>
      <c r="M43" s="83">
        <v>0</v>
      </c>
      <c r="N43" s="212">
        <v>0</v>
      </c>
      <c r="O43" s="212">
        <v>103</v>
      </c>
      <c r="P43" s="83">
        <v>108</v>
      </c>
      <c r="Q43" s="212">
        <v>1</v>
      </c>
      <c r="R43" s="212">
        <v>0</v>
      </c>
    </row>
    <row r="44" spans="2:21" s="214" customFormat="1" ht="13.5">
      <c r="B44" s="207"/>
      <c r="C44" s="217" t="s">
        <v>10</v>
      </c>
      <c r="D44" s="15"/>
      <c r="E44" s="218">
        <v>256</v>
      </c>
      <c r="F44" s="218">
        <v>58</v>
      </c>
      <c r="G44" s="219">
        <v>0.10881801125703565</v>
      </c>
      <c r="H44" s="219">
        <v>0.2265625</v>
      </c>
      <c r="I44" s="220">
        <v>0.127</v>
      </c>
      <c r="J44" s="211">
        <v>5</v>
      </c>
      <c r="K44" s="212">
        <v>1</v>
      </c>
      <c r="L44" s="212">
        <v>0</v>
      </c>
      <c r="M44" s="212">
        <v>3</v>
      </c>
      <c r="N44" s="212">
        <v>2</v>
      </c>
      <c r="O44" s="212">
        <v>0</v>
      </c>
      <c r="P44" s="212">
        <v>0</v>
      </c>
      <c r="Q44" s="212">
        <v>1</v>
      </c>
      <c r="R44" s="212">
        <v>1</v>
      </c>
      <c r="S44" s="212"/>
      <c r="T44" s="212"/>
      <c r="U44" s="213"/>
    </row>
    <row r="45" spans="2:18" ht="13.5">
      <c r="B45" s="52"/>
      <c r="C45" s="63"/>
      <c r="D45" s="10" t="s">
        <v>49</v>
      </c>
      <c r="E45" s="46">
        <v>22</v>
      </c>
      <c r="F45" s="46">
        <v>9</v>
      </c>
      <c r="G45" s="215">
        <v>0.016885553470919325</v>
      </c>
      <c r="H45" s="215">
        <v>0.4090909090909091</v>
      </c>
      <c r="I45" s="216">
        <v>0.117</v>
      </c>
      <c r="J45" s="211">
        <v>6</v>
      </c>
      <c r="K45" s="212">
        <v>0</v>
      </c>
      <c r="L45" s="212">
        <v>1</v>
      </c>
      <c r="M45" s="83">
        <v>0</v>
      </c>
      <c r="N45" s="212">
        <v>0</v>
      </c>
      <c r="O45" s="212">
        <v>42</v>
      </c>
      <c r="P45" s="83">
        <v>22</v>
      </c>
      <c r="Q45" s="212">
        <v>1</v>
      </c>
      <c r="R45" s="212">
        <v>1</v>
      </c>
    </row>
    <row r="46" spans="2:18" ht="13.5">
      <c r="B46" s="52"/>
      <c r="C46" s="63"/>
      <c r="D46" s="10" t="s">
        <v>166</v>
      </c>
      <c r="E46" s="46">
        <v>43</v>
      </c>
      <c r="F46" s="46">
        <v>9</v>
      </c>
      <c r="G46" s="215">
        <v>0.016885553470919325</v>
      </c>
      <c r="H46" s="215">
        <v>0.20930232558139536</v>
      </c>
      <c r="I46" s="216">
        <v>0.14</v>
      </c>
      <c r="J46" s="211">
        <v>7</v>
      </c>
      <c r="K46" s="212">
        <v>0</v>
      </c>
      <c r="L46" s="212">
        <v>1</v>
      </c>
      <c r="M46" s="83">
        <v>0</v>
      </c>
      <c r="N46" s="212">
        <v>0</v>
      </c>
      <c r="O46" s="212">
        <v>18</v>
      </c>
      <c r="P46" s="83">
        <v>18</v>
      </c>
      <c r="Q46" s="212">
        <v>1</v>
      </c>
      <c r="R46" s="212">
        <v>1</v>
      </c>
    </row>
    <row r="47" spans="2:18" ht="13.5">
      <c r="B47" s="52"/>
      <c r="C47" s="63"/>
      <c r="D47" s="10" t="s">
        <v>93</v>
      </c>
      <c r="E47" s="46">
        <v>0</v>
      </c>
      <c r="F47" s="46">
        <v>0</v>
      </c>
      <c r="G47" s="215">
        <v>0</v>
      </c>
      <c r="H47" s="215">
        <v>0</v>
      </c>
      <c r="I47" s="216">
        <v>0.396</v>
      </c>
      <c r="J47" s="211">
        <v>8</v>
      </c>
      <c r="K47" s="212">
        <v>0</v>
      </c>
      <c r="L47" s="212">
        <v>1</v>
      </c>
      <c r="M47" s="83">
        <v>0</v>
      </c>
      <c r="N47" s="212">
        <v>0</v>
      </c>
      <c r="O47" s="212">
        <v>134</v>
      </c>
      <c r="P47" s="83">
        <v>134</v>
      </c>
      <c r="Q47" s="212">
        <v>0</v>
      </c>
      <c r="R47" s="212">
        <v>0</v>
      </c>
    </row>
    <row r="48" spans="2:18" ht="13.5">
      <c r="B48" s="52"/>
      <c r="C48" s="63"/>
      <c r="D48" s="10" t="s">
        <v>167</v>
      </c>
      <c r="E48" s="46">
        <v>4</v>
      </c>
      <c r="F48" s="46">
        <v>0</v>
      </c>
      <c r="G48" s="215">
        <v>0</v>
      </c>
      <c r="H48" s="215">
        <v>0</v>
      </c>
      <c r="I48" s="216">
        <v>0.17</v>
      </c>
      <c r="J48" s="211">
        <v>9</v>
      </c>
      <c r="K48" s="212">
        <v>0</v>
      </c>
      <c r="L48" s="212">
        <v>1</v>
      </c>
      <c r="M48" s="83">
        <v>0</v>
      </c>
      <c r="N48" s="212">
        <v>0</v>
      </c>
      <c r="O48" s="212">
        <v>94</v>
      </c>
      <c r="P48" s="83">
        <v>103</v>
      </c>
      <c r="Q48" s="212">
        <v>1</v>
      </c>
      <c r="R48" s="212">
        <v>0</v>
      </c>
    </row>
    <row r="49" spans="2:18" ht="13.5">
      <c r="B49" s="52"/>
      <c r="C49" s="63"/>
      <c r="D49" s="10" t="s">
        <v>168</v>
      </c>
      <c r="E49" s="46">
        <v>0</v>
      </c>
      <c r="F49" s="46">
        <v>0</v>
      </c>
      <c r="G49" s="215">
        <v>0</v>
      </c>
      <c r="H49" s="215">
        <v>0</v>
      </c>
      <c r="I49" s="216">
        <v>0.188</v>
      </c>
      <c r="J49" s="211">
        <v>10</v>
      </c>
      <c r="K49" s="212">
        <v>0</v>
      </c>
      <c r="L49" s="212">
        <v>1</v>
      </c>
      <c r="M49" s="83">
        <v>0</v>
      </c>
      <c r="N49" s="212">
        <v>0</v>
      </c>
      <c r="O49" s="212">
        <v>135</v>
      </c>
      <c r="P49" s="83">
        <v>135</v>
      </c>
      <c r="Q49" s="212">
        <v>0</v>
      </c>
      <c r="R49" s="212">
        <v>0</v>
      </c>
    </row>
    <row r="50" spans="2:18" ht="13.5">
      <c r="B50" s="52"/>
      <c r="C50" s="63"/>
      <c r="D50" s="10" t="s">
        <v>169</v>
      </c>
      <c r="E50" s="46">
        <v>0</v>
      </c>
      <c r="F50" s="46">
        <v>0</v>
      </c>
      <c r="G50" s="215">
        <v>0</v>
      </c>
      <c r="H50" s="215">
        <v>0</v>
      </c>
      <c r="I50" s="216">
        <v>0.137</v>
      </c>
      <c r="J50" s="211">
        <v>11</v>
      </c>
      <c r="K50" s="212">
        <v>0</v>
      </c>
      <c r="L50" s="212">
        <v>1</v>
      </c>
      <c r="M50" s="83">
        <v>0</v>
      </c>
      <c r="N50" s="212">
        <v>0</v>
      </c>
      <c r="O50" s="212">
        <v>136</v>
      </c>
      <c r="P50" s="83">
        <v>136</v>
      </c>
      <c r="Q50" s="212">
        <v>0</v>
      </c>
      <c r="R50" s="212">
        <v>0</v>
      </c>
    </row>
    <row r="51" spans="2:18" ht="13.5">
      <c r="B51" s="52"/>
      <c r="C51" s="63"/>
      <c r="D51" s="10" t="s">
        <v>50</v>
      </c>
      <c r="E51" s="46">
        <v>146</v>
      </c>
      <c r="F51" s="46">
        <v>27</v>
      </c>
      <c r="G51" s="215">
        <v>0.05065666041275797</v>
      </c>
      <c r="H51" s="215">
        <v>0.18493150684931506</v>
      </c>
      <c r="I51" s="216">
        <v>0.112</v>
      </c>
      <c r="J51" s="211">
        <v>12</v>
      </c>
      <c r="K51" s="212">
        <v>0</v>
      </c>
      <c r="L51" s="212">
        <v>1</v>
      </c>
      <c r="M51" s="83">
        <v>0</v>
      </c>
      <c r="N51" s="212">
        <v>0</v>
      </c>
      <c r="O51" s="212">
        <v>1</v>
      </c>
      <c r="P51" s="83">
        <v>4</v>
      </c>
      <c r="Q51" s="212">
        <v>1</v>
      </c>
      <c r="R51" s="212">
        <v>1</v>
      </c>
    </row>
    <row r="52" spans="2:18" ht="13.5">
      <c r="B52" s="52"/>
      <c r="C52" s="63"/>
      <c r="D52" s="10" t="s">
        <v>94</v>
      </c>
      <c r="E52" s="46">
        <v>17</v>
      </c>
      <c r="F52" s="46">
        <v>2</v>
      </c>
      <c r="G52" s="215">
        <v>0.00375234521575985</v>
      </c>
      <c r="H52" s="215">
        <v>0.11764705882352941</v>
      </c>
      <c r="I52" s="216">
        <v>0.116</v>
      </c>
      <c r="J52" s="211">
        <v>13</v>
      </c>
      <c r="K52" s="212">
        <v>0</v>
      </c>
      <c r="L52" s="212">
        <v>1</v>
      </c>
      <c r="M52" s="83">
        <v>0</v>
      </c>
      <c r="N52" s="212">
        <v>0</v>
      </c>
      <c r="O52" s="212">
        <v>51</v>
      </c>
      <c r="P52" s="83">
        <v>59</v>
      </c>
      <c r="Q52" s="212">
        <v>1</v>
      </c>
      <c r="R52" s="212">
        <v>1</v>
      </c>
    </row>
    <row r="53" spans="2:18" ht="13.5">
      <c r="B53" s="52"/>
      <c r="C53" s="63"/>
      <c r="D53" s="10" t="s">
        <v>95</v>
      </c>
      <c r="E53" s="46">
        <v>21</v>
      </c>
      <c r="F53" s="46">
        <v>11</v>
      </c>
      <c r="G53" s="215">
        <v>0.020637898686679174</v>
      </c>
      <c r="H53" s="215">
        <v>0.5238095238095238</v>
      </c>
      <c r="I53" s="216">
        <v>0.158</v>
      </c>
      <c r="J53" s="211">
        <v>14</v>
      </c>
      <c r="K53" s="212">
        <v>0</v>
      </c>
      <c r="L53" s="212">
        <v>1</v>
      </c>
      <c r="M53" s="83">
        <v>0</v>
      </c>
      <c r="N53" s="212">
        <v>0</v>
      </c>
      <c r="O53" s="212">
        <v>45</v>
      </c>
      <c r="P53" s="83">
        <v>13</v>
      </c>
      <c r="Q53" s="212">
        <v>1</v>
      </c>
      <c r="R53" s="212">
        <v>1</v>
      </c>
    </row>
    <row r="54" spans="2:18" ht="13.5">
      <c r="B54" s="52"/>
      <c r="C54" s="63"/>
      <c r="D54" s="10" t="s">
        <v>170</v>
      </c>
      <c r="E54" s="46">
        <v>3</v>
      </c>
      <c r="F54" s="46">
        <v>0</v>
      </c>
      <c r="G54" s="215">
        <v>0</v>
      </c>
      <c r="H54" s="215">
        <v>0</v>
      </c>
      <c r="I54" s="216">
        <v>0.239</v>
      </c>
      <c r="J54" s="211">
        <v>15</v>
      </c>
      <c r="K54" s="212">
        <v>0</v>
      </c>
      <c r="L54" s="212">
        <v>1</v>
      </c>
      <c r="M54" s="83">
        <v>0</v>
      </c>
      <c r="N54" s="212">
        <v>0</v>
      </c>
      <c r="O54" s="212">
        <v>104</v>
      </c>
      <c r="P54" s="83">
        <v>109</v>
      </c>
      <c r="Q54" s="212">
        <v>1</v>
      </c>
      <c r="R54" s="212">
        <v>0</v>
      </c>
    </row>
    <row r="55" spans="2:21" s="214" customFormat="1" ht="13.5">
      <c r="B55" s="207"/>
      <c r="C55" s="217" t="s">
        <v>11</v>
      </c>
      <c r="D55" s="15"/>
      <c r="E55" s="218">
        <v>324</v>
      </c>
      <c r="F55" s="218">
        <v>53</v>
      </c>
      <c r="G55" s="219">
        <v>0.09943714821763602</v>
      </c>
      <c r="H55" s="219">
        <v>0.16358024691358025</v>
      </c>
      <c r="I55" s="220">
        <v>0.182</v>
      </c>
      <c r="J55" s="211">
        <v>16</v>
      </c>
      <c r="K55" s="212">
        <v>1</v>
      </c>
      <c r="L55" s="212">
        <v>0</v>
      </c>
      <c r="M55" s="212">
        <v>2</v>
      </c>
      <c r="N55" s="212">
        <v>4</v>
      </c>
      <c r="O55" s="212">
        <v>0</v>
      </c>
      <c r="P55" s="212">
        <v>0</v>
      </c>
      <c r="Q55" s="212">
        <v>1</v>
      </c>
      <c r="R55" s="212">
        <v>1</v>
      </c>
      <c r="S55" s="212"/>
      <c r="T55" s="212"/>
      <c r="U55" s="213"/>
    </row>
    <row r="56" spans="2:18" ht="13.5">
      <c r="B56" s="52"/>
      <c r="C56" s="63"/>
      <c r="D56" s="10" t="s">
        <v>51</v>
      </c>
      <c r="E56" s="46">
        <v>63</v>
      </c>
      <c r="F56" s="46">
        <v>8</v>
      </c>
      <c r="G56" s="215">
        <v>0.0150093808630394</v>
      </c>
      <c r="H56" s="215">
        <v>0.12698412698412698</v>
      </c>
      <c r="I56" s="216">
        <v>0.177</v>
      </c>
      <c r="J56" s="211">
        <v>17</v>
      </c>
      <c r="K56" s="212">
        <v>0</v>
      </c>
      <c r="L56" s="212">
        <v>1</v>
      </c>
      <c r="M56" s="83">
        <v>0</v>
      </c>
      <c r="N56" s="212">
        <v>0</v>
      </c>
      <c r="O56" s="212">
        <v>10</v>
      </c>
      <c r="P56" s="83">
        <v>23</v>
      </c>
      <c r="Q56" s="212">
        <v>1</v>
      </c>
      <c r="R56" s="212">
        <v>1</v>
      </c>
    </row>
    <row r="57" spans="2:18" ht="13.5">
      <c r="B57" s="52"/>
      <c r="C57" s="63"/>
      <c r="D57" s="10" t="s">
        <v>171</v>
      </c>
      <c r="E57" s="46">
        <v>0</v>
      </c>
      <c r="F57" s="46">
        <v>0</v>
      </c>
      <c r="G57" s="215">
        <v>0</v>
      </c>
      <c r="H57" s="215">
        <v>0</v>
      </c>
      <c r="I57" s="216">
        <v>0.191</v>
      </c>
      <c r="J57" s="211">
        <v>18</v>
      </c>
      <c r="K57" s="212">
        <v>0</v>
      </c>
      <c r="L57" s="212">
        <v>1</v>
      </c>
      <c r="M57" s="83">
        <v>0</v>
      </c>
      <c r="N57" s="212">
        <v>0</v>
      </c>
      <c r="O57" s="212">
        <v>137</v>
      </c>
      <c r="P57" s="83">
        <v>137</v>
      </c>
      <c r="Q57" s="212">
        <v>0</v>
      </c>
      <c r="R57" s="212">
        <v>0</v>
      </c>
    </row>
    <row r="58" spans="2:18" ht="13.5">
      <c r="B58" s="52"/>
      <c r="C58" s="63"/>
      <c r="D58" s="10" t="s">
        <v>172</v>
      </c>
      <c r="E58" s="46">
        <v>8</v>
      </c>
      <c r="F58" s="46">
        <v>2</v>
      </c>
      <c r="G58" s="215">
        <v>0.00375234521575985</v>
      </c>
      <c r="H58" s="215">
        <v>0.25</v>
      </c>
      <c r="I58" s="216">
        <v>0.171</v>
      </c>
      <c r="J58" s="211">
        <v>19</v>
      </c>
      <c r="K58" s="212">
        <v>0</v>
      </c>
      <c r="L58" s="212">
        <v>1</v>
      </c>
      <c r="M58" s="83">
        <v>0</v>
      </c>
      <c r="N58" s="212">
        <v>0</v>
      </c>
      <c r="O58" s="212">
        <v>75</v>
      </c>
      <c r="P58" s="83">
        <v>68</v>
      </c>
      <c r="Q58" s="212">
        <v>1</v>
      </c>
      <c r="R58" s="212">
        <v>1</v>
      </c>
    </row>
    <row r="59" spans="2:18" ht="13.5">
      <c r="B59" s="52"/>
      <c r="C59" s="63"/>
      <c r="D59" s="10" t="s">
        <v>173</v>
      </c>
      <c r="E59" s="46">
        <v>10</v>
      </c>
      <c r="F59" s="46">
        <v>2</v>
      </c>
      <c r="G59" s="215">
        <v>0.00375234521575985</v>
      </c>
      <c r="H59" s="215">
        <v>0.2</v>
      </c>
      <c r="I59" s="216">
        <v>0.184</v>
      </c>
      <c r="J59" s="211">
        <v>20</v>
      </c>
      <c r="K59" s="212">
        <v>0</v>
      </c>
      <c r="L59" s="212">
        <v>1</v>
      </c>
      <c r="M59" s="83">
        <v>0</v>
      </c>
      <c r="N59" s="212">
        <v>0</v>
      </c>
      <c r="O59" s="212">
        <v>71</v>
      </c>
      <c r="P59" s="83">
        <v>66</v>
      </c>
      <c r="Q59" s="212">
        <v>1</v>
      </c>
      <c r="R59" s="212">
        <v>1</v>
      </c>
    </row>
    <row r="60" spans="2:18" ht="13.5">
      <c r="B60" s="52"/>
      <c r="C60" s="63"/>
      <c r="D60" s="10" t="s">
        <v>96</v>
      </c>
      <c r="E60" s="46">
        <v>10</v>
      </c>
      <c r="F60" s="46">
        <v>2</v>
      </c>
      <c r="G60" s="215">
        <v>0.00375234521575985</v>
      </c>
      <c r="H60" s="215">
        <v>0.2</v>
      </c>
      <c r="I60" s="216">
        <v>0.152</v>
      </c>
      <c r="J60" s="211">
        <v>21</v>
      </c>
      <c r="K60" s="212">
        <v>0</v>
      </c>
      <c r="L60" s="212">
        <v>1</v>
      </c>
      <c r="M60" s="83">
        <v>0</v>
      </c>
      <c r="N60" s="212">
        <v>0</v>
      </c>
      <c r="O60" s="212">
        <v>72</v>
      </c>
      <c r="P60" s="83">
        <v>67</v>
      </c>
      <c r="Q60" s="212">
        <v>1</v>
      </c>
      <c r="R60" s="212">
        <v>1</v>
      </c>
    </row>
    <row r="61" spans="2:18" ht="13.5">
      <c r="B61" s="52"/>
      <c r="C61" s="63"/>
      <c r="D61" s="10" t="s">
        <v>1327</v>
      </c>
      <c r="E61" s="46">
        <v>54</v>
      </c>
      <c r="F61" s="46">
        <v>4</v>
      </c>
      <c r="G61" s="215">
        <v>0.0075046904315197</v>
      </c>
      <c r="H61" s="215">
        <v>0.07407407407407407</v>
      </c>
      <c r="I61" s="216">
        <v>0.198</v>
      </c>
      <c r="J61" s="211">
        <v>22</v>
      </c>
      <c r="K61" s="212">
        <v>0</v>
      </c>
      <c r="L61" s="212">
        <v>1</v>
      </c>
      <c r="M61" s="83">
        <v>0</v>
      </c>
      <c r="N61" s="212">
        <v>0</v>
      </c>
      <c r="O61" s="212">
        <v>12</v>
      </c>
      <c r="P61" s="83">
        <v>39</v>
      </c>
      <c r="Q61" s="212">
        <v>1</v>
      </c>
      <c r="R61" s="212">
        <v>1</v>
      </c>
    </row>
    <row r="62" spans="2:18" ht="13.5">
      <c r="B62" s="52"/>
      <c r="C62" s="63"/>
      <c r="D62" s="10" t="s">
        <v>97</v>
      </c>
      <c r="E62" s="46">
        <v>24</v>
      </c>
      <c r="F62" s="46">
        <v>4</v>
      </c>
      <c r="G62" s="215">
        <v>0.0075046904315197</v>
      </c>
      <c r="H62" s="215">
        <v>0.16666666666666666</v>
      </c>
      <c r="I62" s="216">
        <v>0.166</v>
      </c>
      <c r="J62" s="211">
        <v>23</v>
      </c>
      <c r="K62" s="212">
        <v>0</v>
      </c>
      <c r="L62" s="212">
        <v>1</v>
      </c>
      <c r="M62" s="83">
        <v>0</v>
      </c>
      <c r="N62" s="212">
        <v>0</v>
      </c>
      <c r="O62" s="212">
        <v>36</v>
      </c>
      <c r="P62" s="83">
        <v>41</v>
      </c>
      <c r="Q62" s="212">
        <v>1</v>
      </c>
      <c r="R62" s="212">
        <v>1</v>
      </c>
    </row>
    <row r="63" spans="2:18" ht="13.5">
      <c r="B63" s="52"/>
      <c r="C63" s="63"/>
      <c r="D63" s="10" t="s">
        <v>98</v>
      </c>
      <c r="E63" s="46">
        <v>142</v>
      </c>
      <c r="F63" s="46">
        <v>28</v>
      </c>
      <c r="G63" s="215">
        <v>0.0525328330206379</v>
      </c>
      <c r="H63" s="215">
        <v>0.19718309859154928</v>
      </c>
      <c r="I63" s="216">
        <v>0.178</v>
      </c>
      <c r="J63" s="211">
        <v>24</v>
      </c>
      <c r="K63" s="212">
        <v>0</v>
      </c>
      <c r="L63" s="212">
        <v>1</v>
      </c>
      <c r="M63" s="83">
        <v>0</v>
      </c>
      <c r="N63" s="212">
        <v>0</v>
      </c>
      <c r="O63" s="212">
        <v>2</v>
      </c>
      <c r="P63" s="83">
        <v>2</v>
      </c>
      <c r="Q63" s="212">
        <v>1</v>
      </c>
      <c r="R63" s="212">
        <v>1</v>
      </c>
    </row>
    <row r="64" spans="2:18" ht="13.5">
      <c r="B64" s="52"/>
      <c r="C64" s="63"/>
      <c r="D64" s="10" t="s">
        <v>174</v>
      </c>
      <c r="E64" s="46">
        <v>12</v>
      </c>
      <c r="F64" s="46">
        <v>3</v>
      </c>
      <c r="G64" s="215">
        <v>0.005628517823639775</v>
      </c>
      <c r="H64" s="215">
        <v>0.25</v>
      </c>
      <c r="I64" s="216">
        <v>0.185</v>
      </c>
      <c r="J64" s="211">
        <v>25</v>
      </c>
      <c r="K64" s="212">
        <v>0</v>
      </c>
      <c r="L64" s="212">
        <v>1</v>
      </c>
      <c r="M64" s="83">
        <v>0</v>
      </c>
      <c r="N64" s="212">
        <v>0</v>
      </c>
      <c r="O64" s="212">
        <v>62</v>
      </c>
      <c r="P64" s="83">
        <v>51</v>
      </c>
      <c r="Q64" s="212">
        <v>1</v>
      </c>
      <c r="R64" s="212">
        <v>1</v>
      </c>
    </row>
    <row r="65" spans="2:18" ht="13.5">
      <c r="B65" s="52"/>
      <c r="C65" s="63"/>
      <c r="D65" s="10" t="s">
        <v>175</v>
      </c>
      <c r="E65" s="46">
        <v>1</v>
      </c>
      <c r="F65" s="46">
        <v>0</v>
      </c>
      <c r="G65" s="215">
        <v>0</v>
      </c>
      <c r="H65" s="215">
        <v>0</v>
      </c>
      <c r="I65" s="216">
        <v>0.167</v>
      </c>
      <c r="J65" s="211">
        <v>26</v>
      </c>
      <c r="K65" s="212">
        <v>0</v>
      </c>
      <c r="L65" s="212">
        <v>1</v>
      </c>
      <c r="M65" s="83">
        <v>0</v>
      </c>
      <c r="N65" s="212">
        <v>0</v>
      </c>
      <c r="O65" s="212">
        <v>121</v>
      </c>
      <c r="P65" s="83">
        <v>121</v>
      </c>
      <c r="Q65" s="212">
        <v>1</v>
      </c>
      <c r="R65" s="212">
        <v>0</v>
      </c>
    </row>
    <row r="66" spans="2:21" s="214" customFormat="1" ht="13.5">
      <c r="B66" s="207"/>
      <c r="C66" s="217" t="s">
        <v>12</v>
      </c>
      <c r="D66" s="15"/>
      <c r="E66" s="218">
        <v>5</v>
      </c>
      <c r="F66" s="218">
        <v>2</v>
      </c>
      <c r="G66" s="219">
        <v>0.00375234521575985</v>
      </c>
      <c r="H66" s="219">
        <v>0.4</v>
      </c>
      <c r="I66" s="220">
        <v>0.214</v>
      </c>
      <c r="J66" s="211">
        <v>27</v>
      </c>
      <c r="K66" s="212">
        <v>1</v>
      </c>
      <c r="L66" s="212">
        <v>0</v>
      </c>
      <c r="M66" s="212">
        <v>26</v>
      </c>
      <c r="N66" s="212">
        <v>24</v>
      </c>
      <c r="O66" s="212">
        <v>0</v>
      </c>
      <c r="P66" s="212">
        <v>0</v>
      </c>
      <c r="Q66" s="212">
        <v>1</v>
      </c>
      <c r="R66" s="212">
        <v>1</v>
      </c>
      <c r="S66" s="212"/>
      <c r="T66" s="212"/>
      <c r="U66" s="213"/>
    </row>
    <row r="67" spans="2:21" s="214" customFormat="1" ht="13.5">
      <c r="B67" s="207"/>
      <c r="C67" s="63"/>
      <c r="D67" s="10" t="s">
        <v>99</v>
      </c>
      <c r="E67" s="46">
        <v>3</v>
      </c>
      <c r="F67" s="46">
        <v>1</v>
      </c>
      <c r="G67" s="215">
        <v>0.001876172607879925</v>
      </c>
      <c r="H67" s="215">
        <v>0.3333333333333333</v>
      </c>
      <c r="I67" s="216">
        <v>0.116</v>
      </c>
      <c r="J67" s="211">
        <v>28</v>
      </c>
      <c r="K67" s="212">
        <v>0</v>
      </c>
      <c r="L67" s="212">
        <v>1</v>
      </c>
      <c r="M67" s="212">
        <v>0</v>
      </c>
      <c r="N67" s="212">
        <v>0</v>
      </c>
      <c r="O67" s="212">
        <v>105</v>
      </c>
      <c r="P67" s="212">
        <v>85</v>
      </c>
      <c r="Q67" s="212">
        <v>1</v>
      </c>
      <c r="R67" s="212">
        <v>1</v>
      </c>
      <c r="S67" s="212"/>
      <c r="T67" s="212"/>
      <c r="U67" s="213"/>
    </row>
    <row r="68" spans="2:18" ht="13.5">
      <c r="B68" s="52"/>
      <c r="C68" s="63"/>
      <c r="D68" s="10" t="s">
        <v>100</v>
      </c>
      <c r="E68" s="46">
        <v>0</v>
      </c>
      <c r="F68" s="46">
        <v>0</v>
      </c>
      <c r="G68" s="215">
        <v>0</v>
      </c>
      <c r="H68" s="215">
        <v>0</v>
      </c>
      <c r="I68" s="216">
        <v>0.234</v>
      </c>
      <c r="J68" s="211">
        <v>29</v>
      </c>
      <c r="K68" s="212">
        <v>0</v>
      </c>
      <c r="L68" s="212">
        <v>1</v>
      </c>
      <c r="M68" s="83">
        <v>0</v>
      </c>
      <c r="N68" s="212">
        <v>0</v>
      </c>
      <c r="O68" s="212">
        <v>138</v>
      </c>
      <c r="P68" s="83">
        <v>138</v>
      </c>
      <c r="Q68" s="212">
        <v>0</v>
      </c>
      <c r="R68" s="212">
        <v>0</v>
      </c>
    </row>
    <row r="69" spans="2:18" ht="13.5">
      <c r="B69" s="52"/>
      <c r="C69" s="63"/>
      <c r="D69" s="10" t="s">
        <v>176</v>
      </c>
      <c r="E69" s="46">
        <v>0</v>
      </c>
      <c r="F69" s="46">
        <v>0</v>
      </c>
      <c r="G69" s="215">
        <v>0</v>
      </c>
      <c r="H69" s="215">
        <v>0</v>
      </c>
      <c r="I69" s="216">
        <v>0.293</v>
      </c>
      <c r="J69" s="211">
        <v>30</v>
      </c>
      <c r="K69" s="212">
        <v>0</v>
      </c>
      <c r="L69" s="212">
        <v>1</v>
      </c>
      <c r="M69" s="83">
        <v>0</v>
      </c>
      <c r="N69" s="212">
        <v>0</v>
      </c>
      <c r="O69" s="212">
        <v>139</v>
      </c>
      <c r="P69" s="83">
        <v>139</v>
      </c>
      <c r="Q69" s="212">
        <v>0</v>
      </c>
      <c r="R69" s="212">
        <v>0</v>
      </c>
    </row>
    <row r="70" spans="2:18" ht="13.5">
      <c r="B70" s="52"/>
      <c r="C70" s="63"/>
      <c r="D70" s="10" t="s">
        <v>1328</v>
      </c>
      <c r="E70" s="46">
        <v>0</v>
      </c>
      <c r="F70" s="46">
        <v>0</v>
      </c>
      <c r="G70" s="215">
        <v>0</v>
      </c>
      <c r="H70" s="215">
        <v>0</v>
      </c>
      <c r="I70" s="216">
        <v>0.579</v>
      </c>
      <c r="J70" s="211">
        <v>31</v>
      </c>
      <c r="K70" s="212">
        <v>0</v>
      </c>
      <c r="L70" s="212">
        <v>1</v>
      </c>
      <c r="M70" s="83">
        <v>0</v>
      </c>
      <c r="N70" s="212">
        <v>0</v>
      </c>
      <c r="O70" s="212">
        <v>140</v>
      </c>
      <c r="P70" s="83">
        <v>140</v>
      </c>
      <c r="Q70" s="212">
        <v>0</v>
      </c>
      <c r="R70" s="212">
        <v>0</v>
      </c>
    </row>
    <row r="71" spans="2:18" ht="13.5">
      <c r="B71" s="52"/>
      <c r="C71" s="63"/>
      <c r="D71" s="10" t="s">
        <v>177</v>
      </c>
      <c r="E71" s="46">
        <v>0</v>
      </c>
      <c r="F71" s="46">
        <v>0</v>
      </c>
      <c r="G71" s="215">
        <v>0</v>
      </c>
      <c r="H71" s="215">
        <v>0</v>
      </c>
      <c r="I71" s="216">
        <v>0.267</v>
      </c>
      <c r="J71" s="211">
        <v>32</v>
      </c>
      <c r="K71" s="212">
        <v>0</v>
      </c>
      <c r="L71" s="212">
        <v>1</v>
      </c>
      <c r="M71" s="83">
        <v>0</v>
      </c>
      <c r="N71" s="212">
        <v>0</v>
      </c>
      <c r="O71" s="212">
        <v>141</v>
      </c>
      <c r="P71" s="83">
        <v>141</v>
      </c>
      <c r="Q71" s="212">
        <v>0</v>
      </c>
      <c r="R71" s="212">
        <v>0</v>
      </c>
    </row>
    <row r="72" spans="2:18" ht="13.5">
      <c r="B72" s="52"/>
      <c r="C72" s="63"/>
      <c r="D72" s="10" t="s">
        <v>178</v>
      </c>
      <c r="E72" s="46">
        <v>2</v>
      </c>
      <c r="F72" s="46">
        <v>1</v>
      </c>
      <c r="G72" s="215">
        <v>0.001876172607879925</v>
      </c>
      <c r="H72" s="215">
        <v>0.5</v>
      </c>
      <c r="I72" s="216">
        <v>0.196</v>
      </c>
      <c r="J72" s="211">
        <v>33</v>
      </c>
      <c r="K72" s="212">
        <v>0</v>
      </c>
      <c r="L72" s="212">
        <v>1</v>
      </c>
      <c r="M72" s="83">
        <v>0</v>
      </c>
      <c r="N72" s="212">
        <v>0</v>
      </c>
      <c r="O72" s="212">
        <v>115</v>
      </c>
      <c r="P72" s="83">
        <v>88</v>
      </c>
      <c r="Q72" s="212">
        <v>1</v>
      </c>
      <c r="R72" s="212">
        <v>1</v>
      </c>
    </row>
    <row r="73" spans="2:18" ht="13.5">
      <c r="B73" s="52"/>
      <c r="C73" s="63"/>
      <c r="D73" s="10" t="s">
        <v>179</v>
      </c>
      <c r="E73" s="46">
        <v>0</v>
      </c>
      <c r="F73" s="46">
        <v>0</v>
      </c>
      <c r="G73" s="215">
        <v>0</v>
      </c>
      <c r="H73" s="215">
        <v>0</v>
      </c>
      <c r="I73" s="216">
        <v>0.095</v>
      </c>
      <c r="J73" s="211">
        <v>34</v>
      </c>
      <c r="K73" s="212">
        <v>0</v>
      </c>
      <c r="L73" s="212">
        <v>1</v>
      </c>
      <c r="M73" s="83">
        <v>0</v>
      </c>
      <c r="N73" s="212">
        <v>0</v>
      </c>
      <c r="O73" s="212">
        <v>142</v>
      </c>
      <c r="P73" s="83">
        <v>142</v>
      </c>
      <c r="Q73" s="212">
        <v>0</v>
      </c>
      <c r="R73" s="212">
        <v>0</v>
      </c>
    </row>
    <row r="74" spans="2:18" ht="13.5">
      <c r="B74" s="52"/>
      <c r="C74" s="63"/>
      <c r="D74" s="10" t="s">
        <v>101</v>
      </c>
      <c r="E74" s="46">
        <v>0</v>
      </c>
      <c r="F74" s="46">
        <v>0</v>
      </c>
      <c r="G74" s="215">
        <v>0</v>
      </c>
      <c r="H74" s="215">
        <v>0</v>
      </c>
      <c r="I74" s="216">
        <v>0.284</v>
      </c>
      <c r="J74" s="211">
        <v>35</v>
      </c>
      <c r="K74" s="212">
        <v>0</v>
      </c>
      <c r="L74" s="212">
        <v>1</v>
      </c>
      <c r="M74" s="83">
        <v>0</v>
      </c>
      <c r="N74" s="212">
        <v>0</v>
      </c>
      <c r="O74" s="212">
        <v>143</v>
      </c>
      <c r="P74" s="83">
        <v>143</v>
      </c>
      <c r="Q74" s="212">
        <v>0</v>
      </c>
      <c r="R74" s="212">
        <v>0</v>
      </c>
    </row>
    <row r="75" spans="2:21" s="214" customFormat="1" ht="13.5">
      <c r="B75" s="207"/>
      <c r="C75" s="217" t="s">
        <v>13</v>
      </c>
      <c r="D75" s="15"/>
      <c r="E75" s="218">
        <v>102</v>
      </c>
      <c r="F75" s="218">
        <v>26</v>
      </c>
      <c r="G75" s="219">
        <v>0.04878048780487805</v>
      </c>
      <c r="H75" s="219">
        <v>0.2549019607843137</v>
      </c>
      <c r="I75" s="220">
        <v>0.185</v>
      </c>
      <c r="J75" s="211">
        <v>36</v>
      </c>
      <c r="K75" s="212">
        <v>1</v>
      </c>
      <c r="L75" s="212">
        <v>0</v>
      </c>
      <c r="M75" s="212">
        <v>11</v>
      </c>
      <c r="N75" s="212">
        <v>7</v>
      </c>
      <c r="O75" s="212">
        <v>0</v>
      </c>
      <c r="P75" s="212">
        <v>0</v>
      </c>
      <c r="Q75" s="212">
        <v>1</v>
      </c>
      <c r="R75" s="212">
        <v>1</v>
      </c>
      <c r="S75" s="212"/>
      <c r="T75" s="212"/>
      <c r="U75" s="213"/>
    </row>
    <row r="76" spans="2:21" s="214" customFormat="1" ht="13.5">
      <c r="B76" s="207"/>
      <c r="C76" s="63"/>
      <c r="D76" s="10" t="s">
        <v>102</v>
      </c>
      <c r="E76" s="46">
        <v>28</v>
      </c>
      <c r="F76" s="46">
        <v>9</v>
      </c>
      <c r="G76" s="215">
        <v>0.016885553470919325</v>
      </c>
      <c r="H76" s="215">
        <v>0.32142857142857145</v>
      </c>
      <c r="I76" s="216">
        <v>0.179</v>
      </c>
      <c r="J76" s="211">
        <v>37</v>
      </c>
      <c r="K76" s="212">
        <v>0</v>
      </c>
      <c r="L76" s="212">
        <v>1</v>
      </c>
      <c r="M76" s="212">
        <v>0</v>
      </c>
      <c r="N76" s="212">
        <v>0</v>
      </c>
      <c r="O76" s="212">
        <v>29</v>
      </c>
      <c r="P76" s="212">
        <v>21</v>
      </c>
      <c r="Q76" s="212">
        <v>1</v>
      </c>
      <c r="R76" s="212">
        <v>1</v>
      </c>
      <c r="S76" s="212"/>
      <c r="T76" s="212"/>
      <c r="U76" s="213"/>
    </row>
    <row r="77" spans="2:18" ht="13.5">
      <c r="B77" s="52"/>
      <c r="C77" s="63"/>
      <c r="D77" s="10" t="s">
        <v>180</v>
      </c>
      <c r="E77" s="46">
        <v>0</v>
      </c>
      <c r="F77" s="46">
        <v>0</v>
      </c>
      <c r="G77" s="215">
        <v>0</v>
      </c>
      <c r="H77" s="215">
        <v>0</v>
      </c>
      <c r="I77" s="216">
        <v>0.059</v>
      </c>
      <c r="J77" s="211">
        <v>38</v>
      </c>
      <c r="K77" s="212">
        <v>0</v>
      </c>
      <c r="L77" s="212">
        <v>1</v>
      </c>
      <c r="M77" s="83">
        <v>0</v>
      </c>
      <c r="N77" s="212">
        <v>0</v>
      </c>
      <c r="O77" s="212">
        <v>144</v>
      </c>
      <c r="P77" s="83">
        <v>144</v>
      </c>
      <c r="Q77" s="212">
        <v>0</v>
      </c>
      <c r="R77" s="212">
        <v>0</v>
      </c>
    </row>
    <row r="78" spans="2:18" ht="13.5">
      <c r="B78" s="52"/>
      <c r="C78" s="63"/>
      <c r="D78" s="10" t="s">
        <v>103</v>
      </c>
      <c r="E78" s="46">
        <v>21</v>
      </c>
      <c r="F78" s="46">
        <v>7</v>
      </c>
      <c r="G78" s="215">
        <v>0.013133208255159476</v>
      </c>
      <c r="H78" s="215">
        <v>0.3333333333333333</v>
      </c>
      <c r="I78" s="216">
        <v>0.169</v>
      </c>
      <c r="J78" s="211">
        <v>39</v>
      </c>
      <c r="K78" s="212">
        <v>0</v>
      </c>
      <c r="L78" s="212">
        <v>1</v>
      </c>
      <c r="M78" s="83">
        <v>0</v>
      </c>
      <c r="N78" s="212">
        <v>0</v>
      </c>
      <c r="O78" s="212">
        <v>46</v>
      </c>
      <c r="P78" s="83">
        <v>27</v>
      </c>
      <c r="Q78" s="212">
        <v>1</v>
      </c>
      <c r="R78" s="212">
        <v>1</v>
      </c>
    </row>
    <row r="79" spans="2:18" ht="13.5">
      <c r="B79" s="52"/>
      <c r="C79" s="63"/>
      <c r="D79" s="10" t="s">
        <v>181</v>
      </c>
      <c r="E79" s="46">
        <v>5</v>
      </c>
      <c r="F79" s="46">
        <v>2</v>
      </c>
      <c r="G79" s="215">
        <v>0.00375234521575985</v>
      </c>
      <c r="H79" s="215">
        <v>0.4</v>
      </c>
      <c r="I79" s="216">
        <v>0.23</v>
      </c>
      <c r="J79" s="211">
        <v>40</v>
      </c>
      <c r="K79" s="212">
        <v>0</v>
      </c>
      <c r="L79" s="212">
        <v>1</v>
      </c>
      <c r="M79" s="83">
        <v>0</v>
      </c>
      <c r="N79" s="212">
        <v>0</v>
      </c>
      <c r="O79" s="212">
        <v>88</v>
      </c>
      <c r="P79" s="83">
        <v>72</v>
      </c>
      <c r="Q79" s="212">
        <v>1</v>
      </c>
      <c r="R79" s="212">
        <v>1</v>
      </c>
    </row>
    <row r="80" spans="2:18" ht="13.5">
      <c r="B80" s="52"/>
      <c r="C80" s="63"/>
      <c r="D80" s="10" t="s">
        <v>182</v>
      </c>
      <c r="E80" s="46">
        <v>0</v>
      </c>
      <c r="F80" s="46">
        <v>0</v>
      </c>
      <c r="G80" s="215">
        <v>0</v>
      </c>
      <c r="H80" s="215">
        <v>0</v>
      </c>
      <c r="I80" s="216">
        <v>0.162</v>
      </c>
      <c r="J80" s="211">
        <v>41</v>
      </c>
      <c r="K80" s="212">
        <v>0</v>
      </c>
      <c r="L80" s="212">
        <v>1</v>
      </c>
      <c r="M80" s="83">
        <v>0</v>
      </c>
      <c r="N80" s="212">
        <v>0</v>
      </c>
      <c r="O80" s="212">
        <v>145</v>
      </c>
      <c r="P80" s="83">
        <v>145</v>
      </c>
      <c r="Q80" s="212">
        <v>0</v>
      </c>
      <c r="R80" s="212">
        <v>0</v>
      </c>
    </row>
    <row r="81" spans="2:18" ht="13.5">
      <c r="B81" s="52"/>
      <c r="C81" s="63"/>
      <c r="D81" s="10" t="s">
        <v>183</v>
      </c>
      <c r="E81" s="46">
        <v>11</v>
      </c>
      <c r="F81" s="46">
        <v>2</v>
      </c>
      <c r="G81" s="215">
        <v>0.00375234521575985</v>
      </c>
      <c r="H81" s="215">
        <v>0.18181818181818182</v>
      </c>
      <c r="I81" s="216">
        <v>0.19</v>
      </c>
      <c r="J81" s="211">
        <v>42</v>
      </c>
      <c r="K81" s="212">
        <v>0</v>
      </c>
      <c r="L81" s="212">
        <v>1</v>
      </c>
      <c r="M81" s="83">
        <v>0</v>
      </c>
      <c r="N81" s="212">
        <v>0</v>
      </c>
      <c r="O81" s="212">
        <v>69</v>
      </c>
      <c r="P81" s="83">
        <v>64</v>
      </c>
      <c r="Q81" s="212">
        <v>1</v>
      </c>
      <c r="R81" s="212">
        <v>1</v>
      </c>
    </row>
    <row r="82" spans="2:18" ht="13.5">
      <c r="B82" s="52"/>
      <c r="C82" s="63"/>
      <c r="D82" s="10" t="s">
        <v>1329</v>
      </c>
      <c r="E82" s="46">
        <v>7</v>
      </c>
      <c r="F82" s="46">
        <v>0</v>
      </c>
      <c r="G82" s="215">
        <v>0</v>
      </c>
      <c r="H82" s="215">
        <v>0</v>
      </c>
      <c r="I82" s="216">
        <v>0.204</v>
      </c>
      <c r="J82" s="211">
        <v>43</v>
      </c>
      <c r="K82" s="212">
        <v>0</v>
      </c>
      <c r="L82" s="212">
        <v>1</v>
      </c>
      <c r="M82" s="83">
        <v>0</v>
      </c>
      <c r="N82" s="212">
        <v>0</v>
      </c>
      <c r="O82" s="212">
        <v>82</v>
      </c>
      <c r="P82" s="83">
        <v>95</v>
      </c>
      <c r="Q82" s="212">
        <v>1</v>
      </c>
      <c r="R82" s="212">
        <v>0</v>
      </c>
    </row>
    <row r="83" spans="2:18" ht="13.5">
      <c r="B83" s="52"/>
      <c r="C83" s="63"/>
      <c r="D83" s="10" t="s">
        <v>1330</v>
      </c>
      <c r="E83" s="46">
        <v>23</v>
      </c>
      <c r="F83" s="46">
        <v>6</v>
      </c>
      <c r="G83" s="215">
        <v>0.01125703564727955</v>
      </c>
      <c r="H83" s="215">
        <v>0.2608695652173913</v>
      </c>
      <c r="I83" s="216">
        <v>0.181</v>
      </c>
      <c r="J83" s="211">
        <v>44</v>
      </c>
      <c r="K83" s="212">
        <v>0</v>
      </c>
      <c r="L83" s="212">
        <v>1</v>
      </c>
      <c r="M83" s="83">
        <v>0</v>
      </c>
      <c r="N83" s="212">
        <v>0</v>
      </c>
      <c r="O83" s="212">
        <v>38</v>
      </c>
      <c r="P83" s="83">
        <v>30</v>
      </c>
      <c r="Q83" s="212">
        <v>1</v>
      </c>
      <c r="R83" s="212">
        <v>1</v>
      </c>
    </row>
    <row r="84" spans="2:18" ht="13.5">
      <c r="B84" s="52"/>
      <c r="C84" s="63"/>
      <c r="D84" s="10" t="s">
        <v>184</v>
      </c>
      <c r="E84" s="46">
        <v>0</v>
      </c>
      <c r="F84" s="46">
        <v>0</v>
      </c>
      <c r="G84" s="215">
        <v>0</v>
      </c>
      <c r="H84" s="215">
        <v>0</v>
      </c>
      <c r="I84" s="216">
        <v>0.428</v>
      </c>
      <c r="J84" s="211">
        <v>45</v>
      </c>
      <c r="K84" s="212">
        <v>0</v>
      </c>
      <c r="L84" s="212">
        <v>1</v>
      </c>
      <c r="M84" s="83">
        <v>0</v>
      </c>
      <c r="N84" s="212">
        <v>0</v>
      </c>
      <c r="O84" s="212">
        <v>146</v>
      </c>
      <c r="P84" s="83">
        <v>146</v>
      </c>
      <c r="Q84" s="212">
        <v>0</v>
      </c>
      <c r="R84" s="212">
        <v>0</v>
      </c>
    </row>
    <row r="85" spans="2:18" ht="13.5">
      <c r="B85" s="52"/>
      <c r="C85" s="63"/>
      <c r="D85" s="10" t="s">
        <v>185</v>
      </c>
      <c r="E85" s="46">
        <v>4</v>
      </c>
      <c r="F85" s="46">
        <v>0</v>
      </c>
      <c r="G85" s="215">
        <v>0</v>
      </c>
      <c r="H85" s="215">
        <v>0</v>
      </c>
      <c r="I85" s="216">
        <v>0.192</v>
      </c>
      <c r="J85" s="211">
        <v>46</v>
      </c>
      <c r="K85" s="212">
        <v>0</v>
      </c>
      <c r="L85" s="212">
        <v>1</v>
      </c>
      <c r="M85" s="83">
        <v>0</v>
      </c>
      <c r="N85" s="212">
        <v>0</v>
      </c>
      <c r="O85" s="212">
        <v>95</v>
      </c>
      <c r="P85" s="83">
        <v>104</v>
      </c>
      <c r="Q85" s="212">
        <v>1</v>
      </c>
      <c r="R85" s="212">
        <v>0</v>
      </c>
    </row>
    <row r="86" spans="2:21" s="214" customFormat="1" ht="13.5">
      <c r="B86" s="207"/>
      <c r="C86" s="217" t="s">
        <v>1331</v>
      </c>
      <c r="D86" s="15"/>
      <c r="E86" s="218">
        <v>32</v>
      </c>
      <c r="F86" s="218">
        <v>4</v>
      </c>
      <c r="G86" s="219">
        <v>0.0075046904315197</v>
      </c>
      <c r="H86" s="219">
        <v>0.125</v>
      </c>
      <c r="I86" s="220">
        <v>0.182</v>
      </c>
      <c r="J86" s="211">
        <v>47</v>
      </c>
      <c r="K86" s="212">
        <v>1</v>
      </c>
      <c r="L86" s="212">
        <v>0</v>
      </c>
      <c r="M86" s="212">
        <v>18</v>
      </c>
      <c r="N86" s="212">
        <v>19</v>
      </c>
      <c r="O86" s="212">
        <v>0</v>
      </c>
      <c r="P86" s="212">
        <v>0</v>
      </c>
      <c r="Q86" s="212">
        <v>1</v>
      </c>
      <c r="R86" s="212">
        <v>1</v>
      </c>
      <c r="S86" s="212"/>
      <c r="T86" s="212"/>
      <c r="U86" s="213"/>
    </row>
    <row r="87" spans="2:18" ht="13.5">
      <c r="B87" s="52"/>
      <c r="C87" s="63"/>
      <c r="D87" s="10" t="s">
        <v>104</v>
      </c>
      <c r="E87" s="46">
        <v>30</v>
      </c>
      <c r="F87" s="46">
        <v>4</v>
      </c>
      <c r="G87" s="215">
        <v>0.0075046904315197</v>
      </c>
      <c r="H87" s="215">
        <v>0.13333333333333333</v>
      </c>
      <c r="I87" s="216">
        <v>0.182</v>
      </c>
      <c r="J87" s="211">
        <v>48</v>
      </c>
      <c r="K87" s="212">
        <v>0</v>
      </c>
      <c r="L87" s="212">
        <v>1</v>
      </c>
      <c r="M87" s="83">
        <v>0</v>
      </c>
      <c r="N87" s="212">
        <v>0</v>
      </c>
      <c r="O87" s="212">
        <v>25</v>
      </c>
      <c r="P87" s="83">
        <v>40</v>
      </c>
      <c r="Q87" s="212">
        <v>1</v>
      </c>
      <c r="R87" s="212">
        <v>1</v>
      </c>
    </row>
    <row r="88" spans="2:21" s="214" customFormat="1" ht="13.5">
      <c r="B88" s="207"/>
      <c r="C88" s="63"/>
      <c r="D88" s="10" t="s">
        <v>186</v>
      </c>
      <c r="E88" s="46">
        <v>0</v>
      </c>
      <c r="F88" s="46">
        <v>0</v>
      </c>
      <c r="G88" s="215">
        <v>0</v>
      </c>
      <c r="H88" s="215">
        <v>0</v>
      </c>
      <c r="I88" s="216">
        <v>0.161</v>
      </c>
      <c r="J88" s="211">
        <v>49</v>
      </c>
      <c r="K88" s="212">
        <v>0</v>
      </c>
      <c r="L88" s="212">
        <v>1</v>
      </c>
      <c r="M88" s="212">
        <v>0</v>
      </c>
      <c r="N88" s="212">
        <v>0</v>
      </c>
      <c r="O88" s="212">
        <v>147</v>
      </c>
      <c r="P88" s="212">
        <v>147</v>
      </c>
      <c r="Q88" s="212">
        <v>0</v>
      </c>
      <c r="R88" s="212">
        <v>0</v>
      </c>
      <c r="S88" s="212"/>
      <c r="T88" s="212"/>
      <c r="U88" s="213"/>
    </row>
    <row r="89" spans="2:18" ht="13.5">
      <c r="B89" s="52"/>
      <c r="C89" s="63"/>
      <c r="D89" s="10" t="s">
        <v>105</v>
      </c>
      <c r="E89" s="46">
        <v>0</v>
      </c>
      <c r="F89" s="46">
        <v>0</v>
      </c>
      <c r="G89" s="215">
        <v>0</v>
      </c>
      <c r="H89" s="215">
        <v>0</v>
      </c>
      <c r="I89" s="216">
        <v>0.193</v>
      </c>
      <c r="J89" s="211">
        <v>50</v>
      </c>
      <c r="K89" s="212">
        <v>0</v>
      </c>
      <c r="L89" s="212">
        <v>1</v>
      </c>
      <c r="M89" s="83">
        <v>0</v>
      </c>
      <c r="N89" s="212">
        <v>0</v>
      </c>
      <c r="O89" s="212">
        <v>148</v>
      </c>
      <c r="P89" s="83">
        <v>148</v>
      </c>
      <c r="Q89" s="212">
        <v>0</v>
      </c>
      <c r="R89" s="212">
        <v>0</v>
      </c>
    </row>
    <row r="90" spans="2:18" ht="13.5">
      <c r="B90" s="52"/>
      <c r="C90" s="63"/>
      <c r="D90" s="10" t="s">
        <v>1332</v>
      </c>
      <c r="E90" s="46">
        <v>0</v>
      </c>
      <c r="F90" s="46">
        <v>0</v>
      </c>
      <c r="G90" s="215">
        <v>0</v>
      </c>
      <c r="H90" s="215">
        <v>0</v>
      </c>
      <c r="I90" s="216">
        <v>0.239</v>
      </c>
      <c r="J90" s="211">
        <v>51</v>
      </c>
      <c r="K90" s="212">
        <v>0</v>
      </c>
      <c r="L90" s="212">
        <v>1</v>
      </c>
      <c r="M90" s="83">
        <v>0</v>
      </c>
      <c r="N90" s="212">
        <v>0</v>
      </c>
      <c r="O90" s="212">
        <v>149</v>
      </c>
      <c r="P90" s="83">
        <v>149</v>
      </c>
      <c r="Q90" s="212">
        <v>0</v>
      </c>
      <c r="R90" s="212">
        <v>0</v>
      </c>
    </row>
    <row r="91" spans="2:18" ht="13.5">
      <c r="B91" s="52"/>
      <c r="C91" s="63"/>
      <c r="D91" s="10" t="s">
        <v>1333</v>
      </c>
      <c r="E91" s="46">
        <v>2</v>
      </c>
      <c r="F91" s="46">
        <v>0</v>
      </c>
      <c r="G91" s="215">
        <v>0</v>
      </c>
      <c r="H91" s="215">
        <v>0</v>
      </c>
      <c r="I91" s="216">
        <v>0.185</v>
      </c>
      <c r="J91" s="211">
        <v>52</v>
      </c>
      <c r="K91" s="212">
        <v>0</v>
      </c>
      <c r="L91" s="212">
        <v>1</v>
      </c>
      <c r="M91" s="83">
        <v>0</v>
      </c>
      <c r="N91" s="212">
        <v>0</v>
      </c>
      <c r="O91" s="212">
        <v>116</v>
      </c>
      <c r="P91" s="83">
        <v>117</v>
      </c>
      <c r="Q91" s="212">
        <v>1</v>
      </c>
      <c r="R91" s="212">
        <v>0</v>
      </c>
    </row>
    <row r="92" spans="2:21" s="214" customFormat="1" ht="13.5">
      <c r="B92" s="207"/>
      <c r="C92" s="217" t="s">
        <v>15</v>
      </c>
      <c r="D92" s="15"/>
      <c r="E92" s="218">
        <v>152</v>
      </c>
      <c r="F92" s="218">
        <v>22</v>
      </c>
      <c r="G92" s="219">
        <v>0.04127579737335835</v>
      </c>
      <c r="H92" s="219">
        <v>0.14473684210526316</v>
      </c>
      <c r="I92" s="220">
        <v>0.184</v>
      </c>
      <c r="J92" s="211">
        <v>53</v>
      </c>
      <c r="K92" s="212">
        <v>1</v>
      </c>
      <c r="L92" s="212">
        <v>0</v>
      </c>
      <c r="M92" s="212">
        <v>8</v>
      </c>
      <c r="N92" s="212">
        <v>9</v>
      </c>
      <c r="O92" s="212">
        <v>0</v>
      </c>
      <c r="P92" s="212">
        <v>0</v>
      </c>
      <c r="Q92" s="212">
        <v>1</v>
      </c>
      <c r="R92" s="212">
        <v>1</v>
      </c>
      <c r="S92" s="212"/>
      <c r="T92" s="212"/>
      <c r="U92" s="213"/>
    </row>
    <row r="93" spans="2:18" ht="13.5">
      <c r="B93" s="52"/>
      <c r="C93" s="63"/>
      <c r="D93" s="10" t="s">
        <v>187</v>
      </c>
      <c r="E93" s="46">
        <v>0</v>
      </c>
      <c r="F93" s="46">
        <v>0</v>
      </c>
      <c r="G93" s="215">
        <v>0</v>
      </c>
      <c r="H93" s="215">
        <v>0</v>
      </c>
      <c r="I93" s="216">
        <v>0</v>
      </c>
      <c r="J93" s="211">
        <v>54</v>
      </c>
      <c r="K93" s="212">
        <v>0</v>
      </c>
      <c r="L93" s="212">
        <v>1</v>
      </c>
      <c r="M93" s="83">
        <v>0</v>
      </c>
      <c r="N93" s="212">
        <v>0</v>
      </c>
      <c r="O93" s="212">
        <v>150</v>
      </c>
      <c r="P93" s="83">
        <v>150</v>
      </c>
      <c r="Q93" s="212">
        <v>0</v>
      </c>
      <c r="R93" s="212">
        <v>0</v>
      </c>
    </row>
    <row r="94" spans="2:18" ht="13.5">
      <c r="B94" s="52"/>
      <c r="C94" s="63"/>
      <c r="D94" s="10" t="s">
        <v>106</v>
      </c>
      <c r="E94" s="46">
        <v>15</v>
      </c>
      <c r="F94" s="46">
        <v>2</v>
      </c>
      <c r="G94" s="215">
        <v>0.00375234521575985</v>
      </c>
      <c r="H94" s="215">
        <v>0.13333333333333333</v>
      </c>
      <c r="I94" s="216">
        <v>0.234</v>
      </c>
      <c r="J94" s="211">
        <v>55</v>
      </c>
      <c r="K94" s="212">
        <v>0</v>
      </c>
      <c r="L94" s="212">
        <v>1</v>
      </c>
      <c r="M94" s="83">
        <v>0</v>
      </c>
      <c r="N94" s="212">
        <v>0</v>
      </c>
      <c r="O94" s="212">
        <v>53</v>
      </c>
      <c r="P94" s="83">
        <v>60</v>
      </c>
      <c r="Q94" s="212">
        <v>1</v>
      </c>
      <c r="R94" s="212">
        <v>1</v>
      </c>
    </row>
    <row r="95" spans="2:18" ht="13.5">
      <c r="B95" s="52"/>
      <c r="C95" s="63"/>
      <c r="D95" s="10" t="s">
        <v>107</v>
      </c>
      <c r="E95" s="46">
        <v>26</v>
      </c>
      <c r="F95" s="46">
        <v>5</v>
      </c>
      <c r="G95" s="215">
        <v>0.009380863039399626</v>
      </c>
      <c r="H95" s="215">
        <v>0.19230769230769232</v>
      </c>
      <c r="I95" s="216">
        <v>0.183</v>
      </c>
      <c r="J95" s="211">
        <v>56</v>
      </c>
      <c r="K95" s="212">
        <v>0</v>
      </c>
      <c r="L95" s="212">
        <v>1</v>
      </c>
      <c r="M95" s="83">
        <v>0</v>
      </c>
      <c r="N95" s="212">
        <v>0</v>
      </c>
      <c r="O95" s="212">
        <v>34</v>
      </c>
      <c r="P95" s="83">
        <v>35</v>
      </c>
      <c r="Q95" s="212">
        <v>1</v>
      </c>
      <c r="R95" s="212">
        <v>1</v>
      </c>
    </row>
    <row r="96" spans="2:18" ht="13.5">
      <c r="B96" s="52"/>
      <c r="C96" s="63"/>
      <c r="D96" s="10" t="s">
        <v>108</v>
      </c>
      <c r="E96" s="46">
        <v>45</v>
      </c>
      <c r="F96" s="46">
        <v>9</v>
      </c>
      <c r="G96" s="215">
        <v>0.016885553470919325</v>
      </c>
      <c r="H96" s="215">
        <v>0.2</v>
      </c>
      <c r="I96" s="216">
        <v>0.164</v>
      </c>
      <c r="J96" s="211">
        <v>57</v>
      </c>
      <c r="K96" s="212">
        <v>0</v>
      </c>
      <c r="L96" s="212">
        <v>1</v>
      </c>
      <c r="M96" s="83">
        <v>0</v>
      </c>
      <c r="N96" s="212">
        <v>0</v>
      </c>
      <c r="O96" s="212">
        <v>16</v>
      </c>
      <c r="P96" s="83">
        <v>17</v>
      </c>
      <c r="Q96" s="212">
        <v>1</v>
      </c>
      <c r="R96" s="212">
        <v>1</v>
      </c>
    </row>
    <row r="97" spans="2:18" ht="13.5">
      <c r="B97" s="52"/>
      <c r="C97" s="63"/>
      <c r="D97" s="10" t="s">
        <v>188</v>
      </c>
      <c r="E97" s="46">
        <v>23</v>
      </c>
      <c r="F97" s="46">
        <v>1</v>
      </c>
      <c r="G97" s="215">
        <v>0.001876172607879925</v>
      </c>
      <c r="H97" s="215">
        <v>0.043478260869565216</v>
      </c>
      <c r="I97" s="216">
        <v>0.169</v>
      </c>
      <c r="J97" s="211">
        <v>58</v>
      </c>
      <c r="K97" s="212">
        <v>0</v>
      </c>
      <c r="L97" s="212">
        <v>1</v>
      </c>
      <c r="M97" s="83">
        <v>0</v>
      </c>
      <c r="N97" s="212">
        <v>0</v>
      </c>
      <c r="O97" s="212">
        <v>39</v>
      </c>
      <c r="P97" s="83">
        <v>74</v>
      </c>
      <c r="Q97" s="212">
        <v>1</v>
      </c>
      <c r="R97" s="212">
        <v>1</v>
      </c>
    </row>
    <row r="98" spans="2:18" ht="13.5">
      <c r="B98" s="52"/>
      <c r="C98" s="63"/>
      <c r="D98" s="10" t="s">
        <v>189</v>
      </c>
      <c r="E98" s="46">
        <v>0</v>
      </c>
      <c r="F98" s="46">
        <v>0</v>
      </c>
      <c r="G98" s="215">
        <v>0</v>
      </c>
      <c r="H98" s="215">
        <v>0</v>
      </c>
      <c r="I98" s="216">
        <v>0.29</v>
      </c>
      <c r="J98" s="211">
        <v>59</v>
      </c>
      <c r="K98" s="212">
        <v>0</v>
      </c>
      <c r="L98" s="212">
        <v>1</v>
      </c>
      <c r="M98" s="83">
        <v>0</v>
      </c>
      <c r="N98" s="212">
        <v>0</v>
      </c>
      <c r="O98" s="212">
        <v>151</v>
      </c>
      <c r="P98" s="83">
        <v>151</v>
      </c>
      <c r="Q98" s="212">
        <v>0</v>
      </c>
      <c r="R98" s="212">
        <v>0</v>
      </c>
    </row>
    <row r="99" spans="2:21" s="214" customFormat="1" ht="13.5">
      <c r="B99" s="207"/>
      <c r="C99" s="63"/>
      <c r="D99" s="10" t="s">
        <v>190</v>
      </c>
      <c r="E99" s="46">
        <v>4</v>
      </c>
      <c r="F99" s="46">
        <v>1</v>
      </c>
      <c r="G99" s="215">
        <v>0.001876172607879925</v>
      </c>
      <c r="H99" s="215">
        <v>0.25</v>
      </c>
      <c r="I99" s="216">
        <v>0.202</v>
      </c>
      <c r="J99" s="211">
        <v>60</v>
      </c>
      <c r="K99" s="212">
        <v>0</v>
      </c>
      <c r="L99" s="212">
        <v>1</v>
      </c>
      <c r="M99" s="212">
        <v>0</v>
      </c>
      <c r="N99" s="212">
        <v>0</v>
      </c>
      <c r="O99" s="212">
        <v>96</v>
      </c>
      <c r="P99" s="212">
        <v>82</v>
      </c>
      <c r="Q99" s="212">
        <v>1</v>
      </c>
      <c r="R99" s="212">
        <v>1</v>
      </c>
      <c r="S99" s="212"/>
      <c r="T99" s="212"/>
      <c r="U99" s="213"/>
    </row>
    <row r="100" spans="2:18" ht="13.5">
      <c r="B100" s="52"/>
      <c r="C100" s="63"/>
      <c r="D100" s="10" t="s">
        <v>191</v>
      </c>
      <c r="E100" s="46">
        <v>21</v>
      </c>
      <c r="F100" s="46">
        <v>2</v>
      </c>
      <c r="G100" s="215">
        <v>0.00375234521575985</v>
      </c>
      <c r="H100" s="215">
        <v>0.09523809523809523</v>
      </c>
      <c r="I100" s="216">
        <v>0.211</v>
      </c>
      <c r="J100" s="211">
        <v>61</v>
      </c>
      <c r="K100" s="212">
        <v>0</v>
      </c>
      <c r="L100" s="212">
        <v>1</v>
      </c>
      <c r="M100" s="83">
        <v>0</v>
      </c>
      <c r="N100" s="212">
        <v>0</v>
      </c>
      <c r="O100" s="212">
        <v>47</v>
      </c>
      <c r="P100" s="83">
        <v>56</v>
      </c>
      <c r="Q100" s="212">
        <v>1</v>
      </c>
      <c r="R100" s="212">
        <v>1</v>
      </c>
    </row>
    <row r="101" spans="2:18" ht="13.5">
      <c r="B101" s="52"/>
      <c r="C101" s="63"/>
      <c r="D101" s="10" t="s">
        <v>109</v>
      </c>
      <c r="E101" s="46">
        <v>18</v>
      </c>
      <c r="F101" s="46">
        <v>2</v>
      </c>
      <c r="G101" s="215">
        <v>0.00375234521575985</v>
      </c>
      <c r="H101" s="215">
        <v>0.1111111111111111</v>
      </c>
      <c r="I101" s="216">
        <v>0.164</v>
      </c>
      <c r="J101" s="211">
        <v>62</v>
      </c>
      <c r="K101" s="212">
        <v>0</v>
      </c>
      <c r="L101" s="212">
        <v>1</v>
      </c>
      <c r="M101" s="83">
        <v>0</v>
      </c>
      <c r="N101" s="212">
        <v>0</v>
      </c>
      <c r="O101" s="212">
        <v>49</v>
      </c>
      <c r="P101" s="83">
        <v>57</v>
      </c>
      <c r="Q101" s="212">
        <v>1</v>
      </c>
      <c r="R101" s="212">
        <v>1</v>
      </c>
    </row>
    <row r="102" spans="2:18" ht="13.5">
      <c r="B102" s="52"/>
      <c r="C102" s="63"/>
      <c r="D102" s="10" t="s">
        <v>192</v>
      </c>
      <c r="E102" s="46">
        <v>0</v>
      </c>
      <c r="F102" s="46">
        <v>0</v>
      </c>
      <c r="G102" s="215">
        <v>0</v>
      </c>
      <c r="H102" s="215">
        <v>0</v>
      </c>
      <c r="I102" s="216">
        <v>0.367</v>
      </c>
      <c r="J102" s="211">
        <v>63</v>
      </c>
      <c r="K102" s="212">
        <v>0</v>
      </c>
      <c r="L102" s="212">
        <v>1</v>
      </c>
      <c r="M102" s="83">
        <v>0</v>
      </c>
      <c r="N102" s="212">
        <v>0</v>
      </c>
      <c r="O102" s="212">
        <v>152</v>
      </c>
      <c r="P102" s="83">
        <v>152</v>
      </c>
      <c r="Q102" s="212">
        <v>0</v>
      </c>
      <c r="R102" s="212">
        <v>0</v>
      </c>
    </row>
    <row r="103" spans="2:18" ht="13.5">
      <c r="B103" s="52"/>
      <c r="C103" s="63"/>
      <c r="D103" s="10" t="s">
        <v>110</v>
      </c>
      <c r="E103" s="46">
        <v>0</v>
      </c>
      <c r="F103" s="46">
        <v>0</v>
      </c>
      <c r="G103" s="215">
        <v>0</v>
      </c>
      <c r="H103" s="215">
        <v>0</v>
      </c>
      <c r="I103" s="216">
        <v>0.217</v>
      </c>
      <c r="J103" s="211">
        <v>64</v>
      </c>
      <c r="K103" s="212">
        <v>0</v>
      </c>
      <c r="L103" s="212">
        <v>1</v>
      </c>
      <c r="M103" s="83">
        <v>0</v>
      </c>
      <c r="N103" s="212">
        <v>0</v>
      </c>
      <c r="O103" s="212">
        <v>153</v>
      </c>
      <c r="P103" s="212">
        <v>153</v>
      </c>
      <c r="Q103" s="212">
        <v>0</v>
      </c>
      <c r="R103" s="212">
        <v>0</v>
      </c>
    </row>
    <row r="104" spans="2:21" s="214" customFormat="1" ht="13.5">
      <c r="B104" s="207"/>
      <c r="C104" s="217" t="s">
        <v>1334</v>
      </c>
      <c r="D104" s="15"/>
      <c r="E104" s="218">
        <v>91</v>
      </c>
      <c r="F104" s="218">
        <v>18</v>
      </c>
      <c r="G104" s="219">
        <v>0.03377110694183865</v>
      </c>
      <c r="H104" s="219">
        <v>0.1978021978021978</v>
      </c>
      <c r="I104" s="220">
        <v>0.215</v>
      </c>
      <c r="J104" s="211">
        <v>65</v>
      </c>
      <c r="K104" s="212">
        <v>1</v>
      </c>
      <c r="L104" s="212">
        <v>0</v>
      </c>
      <c r="M104" s="212">
        <v>12</v>
      </c>
      <c r="N104" s="212">
        <v>11</v>
      </c>
      <c r="O104" s="212">
        <v>0</v>
      </c>
      <c r="P104" s="212">
        <v>0</v>
      </c>
      <c r="Q104" s="212">
        <v>1</v>
      </c>
      <c r="R104" s="212">
        <v>1</v>
      </c>
      <c r="S104" s="212"/>
      <c r="T104" s="212"/>
      <c r="U104" s="213"/>
    </row>
    <row r="105" spans="2:18" ht="13.5">
      <c r="B105" s="52"/>
      <c r="C105" s="63"/>
      <c r="D105" s="10" t="s">
        <v>1335</v>
      </c>
      <c r="E105" s="46">
        <v>45</v>
      </c>
      <c r="F105" s="46">
        <v>10</v>
      </c>
      <c r="G105" s="215">
        <v>0.01876172607879925</v>
      </c>
      <c r="H105" s="215">
        <v>0.2222222222222222</v>
      </c>
      <c r="I105" s="216">
        <v>0.209</v>
      </c>
      <c r="J105" s="211">
        <v>66</v>
      </c>
      <c r="K105" s="212">
        <v>0</v>
      </c>
      <c r="L105" s="212">
        <v>1</v>
      </c>
      <c r="M105" s="83">
        <v>0</v>
      </c>
      <c r="N105" s="212">
        <v>0</v>
      </c>
      <c r="O105" s="212">
        <v>17</v>
      </c>
      <c r="P105" s="83">
        <v>15</v>
      </c>
      <c r="Q105" s="212">
        <v>1</v>
      </c>
      <c r="R105" s="212">
        <v>1</v>
      </c>
    </row>
    <row r="106" spans="2:18" ht="13.5">
      <c r="B106" s="52"/>
      <c r="C106" s="63"/>
      <c r="D106" s="10" t="s">
        <v>1336</v>
      </c>
      <c r="E106" s="46">
        <v>28</v>
      </c>
      <c r="F106" s="46">
        <v>6</v>
      </c>
      <c r="G106" s="215">
        <v>0.01125703564727955</v>
      </c>
      <c r="H106" s="215">
        <v>0.21428571428571427</v>
      </c>
      <c r="I106" s="216">
        <v>0.234</v>
      </c>
      <c r="J106" s="211">
        <v>67</v>
      </c>
      <c r="K106" s="212">
        <v>0</v>
      </c>
      <c r="L106" s="212">
        <v>1</v>
      </c>
      <c r="M106" s="83">
        <v>0</v>
      </c>
      <c r="N106" s="212">
        <v>0</v>
      </c>
      <c r="O106" s="212">
        <v>30</v>
      </c>
      <c r="P106" s="83">
        <v>29</v>
      </c>
      <c r="Q106" s="212">
        <v>1</v>
      </c>
      <c r="R106" s="212">
        <v>1</v>
      </c>
    </row>
    <row r="107" spans="2:18" ht="13.5">
      <c r="B107" s="52"/>
      <c r="C107" s="63"/>
      <c r="D107" s="10" t="s">
        <v>1337</v>
      </c>
      <c r="E107" s="46">
        <v>3</v>
      </c>
      <c r="F107" s="46">
        <v>0</v>
      </c>
      <c r="G107" s="215">
        <v>0</v>
      </c>
      <c r="H107" s="215">
        <v>0</v>
      </c>
      <c r="I107" s="216">
        <v>0.228</v>
      </c>
      <c r="J107" s="211">
        <v>68</v>
      </c>
      <c r="K107" s="212">
        <v>0</v>
      </c>
      <c r="L107" s="212">
        <v>1</v>
      </c>
      <c r="M107" s="83">
        <v>0</v>
      </c>
      <c r="N107" s="212">
        <v>0</v>
      </c>
      <c r="O107" s="212">
        <v>106</v>
      </c>
      <c r="P107" s="83">
        <v>110</v>
      </c>
      <c r="Q107" s="212">
        <v>1</v>
      </c>
      <c r="R107" s="212">
        <v>0</v>
      </c>
    </row>
    <row r="108" spans="2:18" ht="13.5">
      <c r="B108" s="52"/>
      <c r="C108" s="63"/>
      <c r="D108" s="10" t="s">
        <v>1338</v>
      </c>
      <c r="E108" s="46">
        <v>0</v>
      </c>
      <c r="F108" s="46">
        <v>0</v>
      </c>
      <c r="G108" s="215">
        <v>0</v>
      </c>
      <c r="H108" s="215">
        <v>0</v>
      </c>
      <c r="I108" s="216">
        <v>0.158</v>
      </c>
      <c r="J108" s="211">
        <v>69</v>
      </c>
      <c r="K108" s="212">
        <v>0</v>
      </c>
      <c r="L108" s="212">
        <v>1</v>
      </c>
      <c r="M108" s="83">
        <v>0</v>
      </c>
      <c r="N108" s="212">
        <v>0</v>
      </c>
      <c r="O108" s="212">
        <v>154</v>
      </c>
      <c r="P108" s="83">
        <v>154</v>
      </c>
      <c r="Q108" s="212">
        <v>0</v>
      </c>
      <c r="R108" s="212">
        <v>0</v>
      </c>
    </row>
    <row r="109" spans="2:18" ht="13.5">
      <c r="B109" s="52"/>
      <c r="C109" s="63"/>
      <c r="D109" s="10" t="s">
        <v>1339</v>
      </c>
      <c r="E109" s="46">
        <v>0</v>
      </c>
      <c r="F109" s="46">
        <v>0</v>
      </c>
      <c r="G109" s="215">
        <v>0</v>
      </c>
      <c r="H109" s="215">
        <v>0</v>
      </c>
      <c r="I109" s="216">
        <v>0.214</v>
      </c>
      <c r="J109" s="211">
        <v>70</v>
      </c>
      <c r="K109" s="212">
        <v>0</v>
      </c>
      <c r="L109" s="212">
        <v>1</v>
      </c>
      <c r="M109" s="83">
        <v>0</v>
      </c>
      <c r="N109" s="212">
        <v>0</v>
      </c>
      <c r="O109" s="212">
        <v>155</v>
      </c>
      <c r="P109" s="83">
        <v>155</v>
      </c>
      <c r="Q109" s="212">
        <v>0</v>
      </c>
      <c r="R109" s="212">
        <v>0</v>
      </c>
    </row>
    <row r="110" spans="2:18" ht="13.5">
      <c r="B110" s="52"/>
      <c r="C110" s="63"/>
      <c r="D110" s="10" t="s">
        <v>1340</v>
      </c>
      <c r="E110" s="46">
        <v>13</v>
      </c>
      <c r="F110" s="46">
        <v>2</v>
      </c>
      <c r="G110" s="215">
        <v>0.00375234521575985</v>
      </c>
      <c r="H110" s="215">
        <v>0.15384615384615385</v>
      </c>
      <c r="I110" s="216">
        <v>0.213</v>
      </c>
      <c r="J110" s="211">
        <v>71</v>
      </c>
      <c r="K110" s="212">
        <v>0</v>
      </c>
      <c r="L110" s="212">
        <v>1</v>
      </c>
      <c r="M110" s="83">
        <v>0</v>
      </c>
      <c r="N110" s="212">
        <v>0</v>
      </c>
      <c r="O110" s="212">
        <v>57</v>
      </c>
      <c r="P110" s="83">
        <v>62</v>
      </c>
      <c r="Q110" s="212">
        <v>1</v>
      </c>
      <c r="R110" s="212">
        <v>1</v>
      </c>
    </row>
    <row r="111" spans="2:21" s="214" customFormat="1" ht="13.5">
      <c r="B111" s="207"/>
      <c r="C111" s="63"/>
      <c r="D111" s="10" t="s">
        <v>1341</v>
      </c>
      <c r="E111" s="46">
        <v>0</v>
      </c>
      <c r="F111" s="46">
        <v>0</v>
      </c>
      <c r="G111" s="215">
        <v>0</v>
      </c>
      <c r="H111" s="215">
        <v>0</v>
      </c>
      <c r="I111" s="216">
        <v>0.432</v>
      </c>
      <c r="J111" s="211">
        <v>72</v>
      </c>
      <c r="K111" s="212">
        <v>0</v>
      </c>
      <c r="L111" s="212">
        <v>1</v>
      </c>
      <c r="M111" s="212">
        <v>0</v>
      </c>
      <c r="N111" s="212">
        <v>0</v>
      </c>
      <c r="O111" s="212">
        <v>156</v>
      </c>
      <c r="P111" s="212">
        <v>156</v>
      </c>
      <c r="Q111" s="212">
        <v>0</v>
      </c>
      <c r="R111" s="212">
        <v>0</v>
      </c>
      <c r="S111" s="212"/>
      <c r="T111" s="212"/>
      <c r="U111" s="213"/>
    </row>
    <row r="112" spans="2:18" ht="13.5">
      <c r="B112" s="52"/>
      <c r="C112" s="63"/>
      <c r="D112" s="10" t="s">
        <v>1342</v>
      </c>
      <c r="E112" s="46">
        <v>0</v>
      </c>
      <c r="F112" s="46">
        <v>0</v>
      </c>
      <c r="G112" s="215">
        <v>0</v>
      </c>
      <c r="H112" s="215">
        <v>0</v>
      </c>
      <c r="I112" s="216">
        <v>0.38</v>
      </c>
      <c r="J112" s="211">
        <v>73</v>
      </c>
      <c r="K112" s="212">
        <v>0</v>
      </c>
      <c r="L112" s="212">
        <v>1</v>
      </c>
      <c r="M112" s="83">
        <v>0</v>
      </c>
      <c r="N112" s="212">
        <v>0</v>
      </c>
      <c r="O112" s="212">
        <v>157</v>
      </c>
      <c r="P112" s="83">
        <v>157</v>
      </c>
      <c r="Q112" s="212">
        <v>0</v>
      </c>
      <c r="R112" s="212">
        <v>0</v>
      </c>
    </row>
    <row r="113" spans="2:18" ht="13.5">
      <c r="B113" s="52"/>
      <c r="C113" s="63"/>
      <c r="D113" s="10" t="s">
        <v>1343</v>
      </c>
      <c r="E113" s="46">
        <v>2</v>
      </c>
      <c r="F113" s="46">
        <v>0</v>
      </c>
      <c r="G113" s="215">
        <v>0</v>
      </c>
      <c r="H113" s="215">
        <v>0</v>
      </c>
      <c r="I113" s="216">
        <v>0.219</v>
      </c>
      <c r="J113" s="211">
        <v>74</v>
      </c>
      <c r="K113" s="212">
        <v>0</v>
      </c>
      <c r="L113" s="212">
        <v>1</v>
      </c>
      <c r="M113" s="83">
        <v>0</v>
      </c>
      <c r="N113" s="212">
        <v>0</v>
      </c>
      <c r="O113" s="212">
        <v>117</v>
      </c>
      <c r="P113" s="83">
        <v>118</v>
      </c>
      <c r="Q113" s="212">
        <v>1</v>
      </c>
      <c r="R113" s="212">
        <v>0</v>
      </c>
    </row>
    <row r="114" spans="2:21" s="214" customFormat="1" ht="13.5">
      <c r="B114" s="207"/>
      <c r="C114" s="217" t="s">
        <v>16</v>
      </c>
      <c r="D114" s="15"/>
      <c r="E114" s="218">
        <v>12</v>
      </c>
      <c r="F114" s="218">
        <v>0</v>
      </c>
      <c r="G114" s="219">
        <v>0</v>
      </c>
      <c r="H114" s="219">
        <v>0</v>
      </c>
      <c r="I114" s="220">
        <v>0.235</v>
      </c>
      <c r="J114" s="211">
        <v>75</v>
      </c>
      <c r="K114" s="212">
        <v>1</v>
      </c>
      <c r="L114" s="212">
        <v>0</v>
      </c>
      <c r="M114" s="212">
        <v>24</v>
      </c>
      <c r="N114" s="212">
        <v>26</v>
      </c>
      <c r="O114" s="212">
        <v>0</v>
      </c>
      <c r="P114" s="212">
        <v>0</v>
      </c>
      <c r="Q114" s="212">
        <v>1</v>
      </c>
      <c r="R114" s="212">
        <v>0</v>
      </c>
      <c r="S114" s="212"/>
      <c r="T114" s="212"/>
      <c r="U114" s="213"/>
    </row>
    <row r="115" spans="2:18" ht="13.5">
      <c r="B115" s="52"/>
      <c r="C115" s="63"/>
      <c r="D115" s="10" t="s">
        <v>193</v>
      </c>
      <c r="E115" s="46">
        <v>0</v>
      </c>
      <c r="F115" s="46">
        <v>0</v>
      </c>
      <c r="G115" s="215">
        <v>0</v>
      </c>
      <c r="H115" s="215">
        <v>0</v>
      </c>
      <c r="I115" s="216">
        <v>0.376</v>
      </c>
      <c r="J115" s="211">
        <v>76</v>
      </c>
      <c r="K115" s="212">
        <v>0</v>
      </c>
      <c r="L115" s="212">
        <v>1</v>
      </c>
      <c r="M115" s="83">
        <v>0</v>
      </c>
      <c r="N115" s="212">
        <v>0</v>
      </c>
      <c r="O115" s="212">
        <v>158</v>
      </c>
      <c r="P115" s="83">
        <v>158</v>
      </c>
      <c r="Q115" s="212">
        <v>0</v>
      </c>
      <c r="R115" s="212">
        <v>0</v>
      </c>
    </row>
    <row r="116" spans="2:18" ht="13.5">
      <c r="B116" s="52"/>
      <c r="C116" s="63"/>
      <c r="D116" s="10" t="s">
        <v>194</v>
      </c>
      <c r="E116" s="46">
        <v>0</v>
      </c>
      <c r="F116" s="46">
        <v>0</v>
      </c>
      <c r="G116" s="215">
        <v>0</v>
      </c>
      <c r="H116" s="215">
        <v>0</v>
      </c>
      <c r="I116" s="216">
        <v>0.383</v>
      </c>
      <c r="J116" s="211">
        <v>77</v>
      </c>
      <c r="K116" s="212">
        <v>0</v>
      </c>
      <c r="L116" s="212">
        <v>1</v>
      </c>
      <c r="M116" s="83">
        <v>0</v>
      </c>
      <c r="N116" s="212">
        <v>0</v>
      </c>
      <c r="O116" s="212">
        <v>159</v>
      </c>
      <c r="P116" s="83">
        <v>159</v>
      </c>
      <c r="Q116" s="212">
        <v>0</v>
      </c>
      <c r="R116" s="212">
        <v>0</v>
      </c>
    </row>
    <row r="117" spans="2:18" ht="13.5">
      <c r="B117" s="52"/>
      <c r="C117" s="63"/>
      <c r="D117" s="10" t="s">
        <v>1088</v>
      </c>
      <c r="E117" s="46">
        <v>0</v>
      </c>
      <c r="F117" s="46">
        <v>0</v>
      </c>
      <c r="G117" s="215">
        <v>0</v>
      </c>
      <c r="H117" s="215">
        <v>0</v>
      </c>
      <c r="I117" s="216">
        <v>0.625</v>
      </c>
      <c r="J117" s="211">
        <v>78</v>
      </c>
      <c r="K117" s="212">
        <v>0</v>
      </c>
      <c r="L117" s="212">
        <v>1</v>
      </c>
      <c r="M117" s="83">
        <v>0</v>
      </c>
      <c r="N117" s="212">
        <v>0</v>
      </c>
      <c r="O117" s="212">
        <v>160</v>
      </c>
      <c r="P117" s="83">
        <v>160</v>
      </c>
      <c r="Q117" s="212">
        <v>0</v>
      </c>
      <c r="R117" s="212">
        <v>0</v>
      </c>
    </row>
    <row r="118" spans="2:18" ht="13.5">
      <c r="B118" s="52"/>
      <c r="C118" s="63"/>
      <c r="D118" s="10" t="s">
        <v>195</v>
      </c>
      <c r="E118" s="46">
        <v>0</v>
      </c>
      <c r="F118" s="46">
        <v>0</v>
      </c>
      <c r="G118" s="215">
        <v>0</v>
      </c>
      <c r="H118" s="215">
        <v>0</v>
      </c>
      <c r="I118" s="216">
        <v>0.159</v>
      </c>
      <c r="J118" s="211">
        <v>79</v>
      </c>
      <c r="K118" s="212">
        <v>0</v>
      </c>
      <c r="L118" s="212">
        <v>1</v>
      </c>
      <c r="M118" s="83">
        <v>0</v>
      </c>
      <c r="N118" s="212">
        <v>0</v>
      </c>
      <c r="O118" s="212">
        <v>161</v>
      </c>
      <c r="P118" s="83">
        <v>161</v>
      </c>
      <c r="Q118" s="212">
        <v>0</v>
      </c>
      <c r="R118" s="212">
        <v>0</v>
      </c>
    </row>
    <row r="119" spans="2:18" ht="13.5">
      <c r="B119" s="52"/>
      <c r="C119" s="63"/>
      <c r="D119" s="10" t="s">
        <v>196</v>
      </c>
      <c r="E119" s="46">
        <v>7</v>
      </c>
      <c r="F119" s="46">
        <v>0</v>
      </c>
      <c r="G119" s="215">
        <v>0</v>
      </c>
      <c r="H119" s="215">
        <v>0</v>
      </c>
      <c r="I119" s="216">
        <v>0.243</v>
      </c>
      <c r="J119" s="211">
        <v>80</v>
      </c>
      <c r="K119" s="212">
        <v>0</v>
      </c>
      <c r="L119" s="212">
        <v>1</v>
      </c>
      <c r="M119" s="83">
        <v>0</v>
      </c>
      <c r="N119" s="212">
        <v>0</v>
      </c>
      <c r="O119" s="212">
        <v>83</v>
      </c>
      <c r="P119" s="83">
        <v>96</v>
      </c>
      <c r="Q119" s="212">
        <v>1</v>
      </c>
      <c r="R119" s="212">
        <v>0</v>
      </c>
    </row>
    <row r="120" spans="2:18" ht="13.5">
      <c r="B120" s="52"/>
      <c r="C120" s="63"/>
      <c r="D120" s="10" t="s">
        <v>197</v>
      </c>
      <c r="E120" s="46">
        <v>1</v>
      </c>
      <c r="F120" s="46">
        <v>0</v>
      </c>
      <c r="G120" s="215">
        <v>0</v>
      </c>
      <c r="H120" s="215">
        <v>0</v>
      </c>
      <c r="I120" s="216">
        <v>0.218</v>
      </c>
      <c r="J120" s="211">
        <v>81</v>
      </c>
      <c r="K120" s="212">
        <v>0</v>
      </c>
      <c r="L120" s="212">
        <v>1</v>
      </c>
      <c r="M120" s="83">
        <v>0</v>
      </c>
      <c r="N120" s="212">
        <v>0</v>
      </c>
      <c r="O120" s="212">
        <v>122</v>
      </c>
      <c r="P120" s="83">
        <v>122</v>
      </c>
      <c r="Q120" s="212">
        <v>1</v>
      </c>
      <c r="R120" s="212">
        <v>0</v>
      </c>
    </row>
    <row r="121" spans="2:21" s="214" customFormat="1" ht="13.5">
      <c r="B121" s="207"/>
      <c r="C121" s="63"/>
      <c r="D121" s="10" t="s">
        <v>198</v>
      </c>
      <c r="E121" s="46">
        <v>3</v>
      </c>
      <c r="F121" s="46">
        <v>0</v>
      </c>
      <c r="G121" s="215">
        <v>0</v>
      </c>
      <c r="H121" s="215">
        <v>0</v>
      </c>
      <c r="I121" s="216">
        <v>0.16</v>
      </c>
      <c r="J121" s="211">
        <v>82</v>
      </c>
      <c r="K121" s="212">
        <v>0</v>
      </c>
      <c r="L121" s="212">
        <v>1</v>
      </c>
      <c r="M121" s="212">
        <v>0</v>
      </c>
      <c r="N121" s="212">
        <v>0</v>
      </c>
      <c r="O121" s="212">
        <v>107</v>
      </c>
      <c r="P121" s="212">
        <v>111</v>
      </c>
      <c r="Q121" s="212">
        <v>1</v>
      </c>
      <c r="R121" s="212">
        <v>0</v>
      </c>
      <c r="S121" s="212"/>
      <c r="T121" s="212"/>
      <c r="U121" s="213"/>
    </row>
    <row r="122" spans="2:18" ht="13.5">
      <c r="B122" s="52"/>
      <c r="C122" s="63"/>
      <c r="D122" s="10" t="s">
        <v>111</v>
      </c>
      <c r="E122" s="46">
        <v>1</v>
      </c>
      <c r="F122" s="46">
        <v>0</v>
      </c>
      <c r="G122" s="215">
        <v>0</v>
      </c>
      <c r="H122" s="215">
        <v>0</v>
      </c>
      <c r="I122" s="216">
        <v>0.25</v>
      </c>
      <c r="J122" s="211">
        <v>83</v>
      </c>
      <c r="K122" s="212">
        <v>0</v>
      </c>
      <c r="L122" s="212">
        <v>1</v>
      </c>
      <c r="M122" s="83">
        <v>0</v>
      </c>
      <c r="N122" s="212">
        <v>0</v>
      </c>
      <c r="O122" s="212">
        <v>123</v>
      </c>
      <c r="P122" s="83">
        <v>123</v>
      </c>
      <c r="Q122" s="212">
        <v>1</v>
      </c>
      <c r="R122" s="212">
        <v>0</v>
      </c>
    </row>
    <row r="123" spans="2:18" ht="13.5">
      <c r="B123" s="52"/>
      <c r="C123" s="63"/>
      <c r="D123" s="10" t="s">
        <v>199</v>
      </c>
      <c r="E123" s="46">
        <v>0</v>
      </c>
      <c r="F123" s="46">
        <v>0</v>
      </c>
      <c r="G123" s="215">
        <v>0</v>
      </c>
      <c r="H123" s="215">
        <v>0</v>
      </c>
      <c r="I123" s="216">
        <v>0.327</v>
      </c>
      <c r="J123" s="211">
        <v>84</v>
      </c>
      <c r="K123" s="212">
        <v>0</v>
      </c>
      <c r="L123" s="212">
        <v>1</v>
      </c>
      <c r="M123" s="83">
        <v>0</v>
      </c>
      <c r="N123" s="212">
        <v>0</v>
      </c>
      <c r="O123" s="212">
        <v>162</v>
      </c>
      <c r="P123" s="83">
        <v>162</v>
      </c>
      <c r="Q123" s="212">
        <v>0</v>
      </c>
      <c r="R123" s="212">
        <v>0</v>
      </c>
    </row>
    <row r="124" spans="2:21" s="214" customFormat="1" ht="13.5">
      <c r="B124" s="207"/>
      <c r="C124" s="217" t="s">
        <v>17</v>
      </c>
      <c r="D124" s="15"/>
      <c r="E124" s="218">
        <v>15</v>
      </c>
      <c r="F124" s="218">
        <v>4</v>
      </c>
      <c r="G124" s="219">
        <v>0.0075046904315197</v>
      </c>
      <c r="H124" s="219">
        <v>0.26666666666666666</v>
      </c>
      <c r="I124" s="220">
        <v>0.182</v>
      </c>
      <c r="J124" s="211">
        <v>85</v>
      </c>
      <c r="K124" s="212">
        <v>1</v>
      </c>
      <c r="L124" s="212">
        <v>0</v>
      </c>
      <c r="M124" s="212">
        <v>23</v>
      </c>
      <c r="N124" s="212">
        <v>21</v>
      </c>
      <c r="O124" s="212">
        <v>0</v>
      </c>
      <c r="P124" s="212">
        <v>0</v>
      </c>
      <c r="Q124" s="212">
        <v>1</v>
      </c>
      <c r="R124" s="212">
        <v>1</v>
      </c>
      <c r="S124" s="212"/>
      <c r="T124" s="212"/>
      <c r="U124" s="213"/>
    </row>
    <row r="125" spans="2:18" ht="13.5">
      <c r="B125" s="52"/>
      <c r="C125" s="63"/>
      <c r="D125" s="10" t="s">
        <v>112</v>
      </c>
      <c r="E125" s="46">
        <v>8</v>
      </c>
      <c r="F125" s="46">
        <v>3</v>
      </c>
      <c r="G125" s="215">
        <v>0.005628517823639775</v>
      </c>
      <c r="H125" s="215">
        <v>0.375</v>
      </c>
      <c r="I125" s="216">
        <v>0.152</v>
      </c>
      <c r="J125" s="211">
        <v>86</v>
      </c>
      <c r="K125" s="212">
        <v>0</v>
      </c>
      <c r="L125" s="212">
        <v>1</v>
      </c>
      <c r="M125" s="83">
        <v>0</v>
      </c>
      <c r="N125" s="212">
        <v>0</v>
      </c>
      <c r="O125" s="212">
        <v>76</v>
      </c>
      <c r="P125" s="83">
        <v>53</v>
      </c>
      <c r="Q125" s="212">
        <v>1</v>
      </c>
      <c r="R125" s="212">
        <v>1</v>
      </c>
    </row>
    <row r="126" spans="2:18" ht="13.5">
      <c r="B126" s="52"/>
      <c r="C126" s="63"/>
      <c r="D126" s="10" t="s">
        <v>200</v>
      </c>
      <c r="E126" s="46">
        <v>4</v>
      </c>
      <c r="F126" s="46">
        <v>1</v>
      </c>
      <c r="G126" s="215">
        <v>0.001876172607879925</v>
      </c>
      <c r="H126" s="215">
        <v>0.25</v>
      </c>
      <c r="I126" s="216">
        <v>0.234</v>
      </c>
      <c r="J126" s="211">
        <v>87</v>
      </c>
      <c r="K126" s="212">
        <v>0</v>
      </c>
      <c r="L126" s="212">
        <v>1</v>
      </c>
      <c r="M126" s="83">
        <v>0</v>
      </c>
      <c r="N126" s="212">
        <v>0</v>
      </c>
      <c r="O126" s="212">
        <v>97</v>
      </c>
      <c r="P126" s="83">
        <v>83</v>
      </c>
      <c r="Q126" s="212">
        <v>1</v>
      </c>
      <c r="R126" s="212">
        <v>1</v>
      </c>
    </row>
    <row r="127" spans="2:18" ht="13.5">
      <c r="B127" s="52"/>
      <c r="C127" s="63"/>
      <c r="D127" s="10" t="s">
        <v>1344</v>
      </c>
      <c r="E127" s="46">
        <v>0</v>
      </c>
      <c r="F127" s="46">
        <v>0</v>
      </c>
      <c r="G127" s="215">
        <v>0</v>
      </c>
      <c r="H127" s="215">
        <v>0</v>
      </c>
      <c r="I127" s="216">
        <v>0.28</v>
      </c>
      <c r="J127" s="211">
        <v>88</v>
      </c>
      <c r="K127" s="212">
        <v>0</v>
      </c>
      <c r="L127" s="212">
        <v>1</v>
      </c>
      <c r="M127" s="83">
        <v>0</v>
      </c>
      <c r="N127" s="212">
        <v>0</v>
      </c>
      <c r="O127" s="212">
        <v>163</v>
      </c>
      <c r="P127" s="83">
        <v>163</v>
      </c>
      <c r="Q127" s="212">
        <v>0</v>
      </c>
      <c r="R127" s="212">
        <v>0</v>
      </c>
    </row>
    <row r="128" spans="2:18" ht="13.5">
      <c r="B128" s="52"/>
      <c r="C128" s="63"/>
      <c r="D128" s="10" t="s">
        <v>201</v>
      </c>
      <c r="E128" s="46">
        <v>3</v>
      </c>
      <c r="F128" s="46">
        <v>0</v>
      </c>
      <c r="G128" s="215">
        <v>0</v>
      </c>
      <c r="H128" s="215">
        <v>0</v>
      </c>
      <c r="I128" s="216">
        <v>0.232</v>
      </c>
      <c r="J128" s="211">
        <v>89</v>
      </c>
      <c r="K128" s="212">
        <v>0</v>
      </c>
      <c r="L128" s="212">
        <v>1</v>
      </c>
      <c r="M128" s="221">
        <v>0</v>
      </c>
      <c r="N128" s="212">
        <v>0</v>
      </c>
      <c r="O128" s="212">
        <v>108</v>
      </c>
      <c r="P128" s="83">
        <v>112</v>
      </c>
      <c r="Q128" s="212">
        <v>1</v>
      </c>
      <c r="R128" s="212">
        <v>0</v>
      </c>
    </row>
    <row r="129" spans="2:21" s="214" customFormat="1" ht="13.5">
      <c r="B129" s="207"/>
      <c r="C129" s="63"/>
      <c r="D129" s="10" t="s">
        <v>202</v>
      </c>
      <c r="E129" s="46">
        <v>0</v>
      </c>
      <c r="F129" s="46">
        <v>0</v>
      </c>
      <c r="G129" s="215">
        <v>0</v>
      </c>
      <c r="H129" s="215">
        <v>0</v>
      </c>
      <c r="I129" s="216">
        <v>0.229</v>
      </c>
      <c r="J129" s="211">
        <v>90</v>
      </c>
      <c r="K129" s="212">
        <v>0</v>
      </c>
      <c r="L129" s="212">
        <v>1</v>
      </c>
      <c r="M129" s="212">
        <v>0</v>
      </c>
      <c r="N129" s="212">
        <v>0</v>
      </c>
      <c r="O129" s="212">
        <v>164</v>
      </c>
      <c r="P129" s="212">
        <v>164</v>
      </c>
      <c r="Q129" s="212">
        <v>0</v>
      </c>
      <c r="R129" s="212">
        <v>0</v>
      </c>
      <c r="S129" s="212"/>
      <c r="T129" s="212"/>
      <c r="U129" s="213"/>
    </row>
    <row r="130" spans="2:18" ht="13.5">
      <c r="B130" s="52"/>
      <c r="C130" s="63"/>
      <c r="D130" s="10" t="s">
        <v>203</v>
      </c>
      <c r="E130" s="46">
        <v>0</v>
      </c>
      <c r="F130" s="46">
        <v>0</v>
      </c>
      <c r="G130" s="215">
        <v>0</v>
      </c>
      <c r="H130" s="215">
        <v>0</v>
      </c>
      <c r="I130" s="216">
        <v>0.294</v>
      </c>
      <c r="J130" s="211">
        <v>91</v>
      </c>
      <c r="K130" s="212">
        <v>0</v>
      </c>
      <c r="L130" s="212">
        <v>1</v>
      </c>
      <c r="M130" s="83">
        <v>0</v>
      </c>
      <c r="N130" s="212">
        <v>0</v>
      </c>
      <c r="O130" s="212">
        <v>165</v>
      </c>
      <c r="P130" s="83">
        <v>165</v>
      </c>
      <c r="Q130" s="212">
        <v>0</v>
      </c>
      <c r="R130" s="212">
        <v>0</v>
      </c>
    </row>
    <row r="131" spans="2:21" s="214" customFormat="1" ht="13.5">
      <c r="B131" s="207"/>
      <c r="C131" s="217" t="s">
        <v>18</v>
      </c>
      <c r="D131" s="15"/>
      <c r="E131" s="218">
        <v>165</v>
      </c>
      <c r="F131" s="218">
        <v>50</v>
      </c>
      <c r="G131" s="219">
        <v>0.09380863039399624</v>
      </c>
      <c r="H131" s="219">
        <v>0.30303030303030304</v>
      </c>
      <c r="I131" s="220">
        <v>0.176</v>
      </c>
      <c r="J131" s="211">
        <v>92</v>
      </c>
      <c r="K131" s="212">
        <v>1</v>
      </c>
      <c r="L131" s="212">
        <v>0</v>
      </c>
      <c r="M131" s="212">
        <v>6</v>
      </c>
      <c r="N131" s="212">
        <v>5</v>
      </c>
      <c r="O131" s="212">
        <v>0</v>
      </c>
      <c r="P131" s="212">
        <v>0</v>
      </c>
      <c r="Q131" s="212">
        <v>1</v>
      </c>
      <c r="R131" s="212">
        <v>1</v>
      </c>
      <c r="S131" s="212"/>
      <c r="T131" s="212"/>
      <c r="U131" s="213"/>
    </row>
    <row r="132" spans="2:18" ht="13.5">
      <c r="B132" s="52"/>
      <c r="C132" s="63"/>
      <c r="D132" s="10" t="s">
        <v>113</v>
      </c>
      <c r="E132" s="46">
        <v>0</v>
      </c>
      <c r="F132" s="46">
        <v>0</v>
      </c>
      <c r="G132" s="215">
        <v>0</v>
      </c>
      <c r="H132" s="215">
        <v>0</v>
      </c>
      <c r="I132" s="216">
        <v>0.824</v>
      </c>
      <c r="J132" s="211">
        <v>93</v>
      </c>
      <c r="K132" s="212">
        <v>0</v>
      </c>
      <c r="L132" s="212">
        <v>1</v>
      </c>
      <c r="M132" s="83">
        <v>0</v>
      </c>
      <c r="N132" s="212">
        <v>0</v>
      </c>
      <c r="O132" s="212">
        <v>166</v>
      </c>
      <c r="P132" s="212">
        <v>166</v>
      </c>
      <c r="Q132" s="212">
        <v>0</v>
      </c>
      <c r="R132" s="212">
        <v>0</v>
      </c>
    </row>
    <row r="133" spans="2:18" ht="13.5">
      <c r="B133" s="52"/>
      <c r="C133" s="63"/>
      <c r="D133" s="10" t="s">
        <v>114</v>
      </c>
      <c r="E133" s="46">
        <v>29</v>
      </c>
      <c r="F133" s="46">
        <v>9</v>
      </c>
      <c r="G133" s="215">
        <v>0.016885553470919325</v>
      </c>
      <c r="H133" s="215">
        <v>0.3103448275862069</v>
      </c>
      <c r="I133" s="216">
        <v>0.145</v>
      </c>
      <c r="J133" s="211">
        <v>94</v>
      </c>
      <c r="K133" s="212">
        <v>0</v>
      </c>
      <c r="L133" s="212">
        <v>1</v>
      </c>
      <c r="M133" s="83">
        <v>0</v>
      </c>
      <c r="N133" s="212">
        <v>0</v>
      </c>
      <c r="O133" s="212">
        <v>28</v>
      </c>
      <c r="P133" s="83">
        <v>20</v>
      </c>
      <c r="Q133" s="212">
        <v>1</v>
      </c>
      <c r="R133" s="212">
        <v>1</v>
      </c>
    </row>
    <row r="134" spans="2:18" ht="13.5">
      <c r="B134" s="52"/>
      <c r="C134" s="63"/>
      <c r="D134" s="10" t="s">
        <v>115</v>
      </c>
      <c r="E134" s="46">
        <v>24</v>
      </c>
      <c r="F134" s="46">
        <v>13</v>
      </c>
      <c r="G134" s="215">
        <v>0.024390243902439025</v>
      </c>
      <c r="H134" s="215">
        <v>0.5416666666666666</v>
      </c>
      <c r="I134" s="216">
        <v>0.17</v>
      </c>
      <c r="J134" s="211">
        <v>95</v>
      </c>
      <c r="K134" s="212">
        <v>0</v>
      </c>
      <c r="L134" s="212">
        <v>1</v>
      </c>
      <c r="M134" s="83">
        <v>0</v>
      </c>
      <c r="N134" s="212">
        <v>0</v>
      </c>
      <c r="O134" s="212">
        <v>37</v>
      </c>
      <c r="P134" s="83">
        <v>10</v>
      </c>
      <c r="Q134" s="212">
        <v>1</v>
      </c>
      <c r="R134" s="212">
        <v>1</v>
      </c>
    </row>
    <row r="135" spans="2:18" ht="13.5">
      <c r="B135" s="52"/>
      <c r="C135" s="63"/>
      <c r="D135" s="10" t="s">
        <v>204</v>
      </c>
      <c r="E135" s="46">
        <v>36</v>
      </c>
      <c r="F135" s="46">
        <v>8</v>
      </c>
      <c r="G135" s="215">
        <v>0.0150093808630394</v>
      </c>
      <c r="H135" s="215">
        <v>0.2222222222222222</v>
      </c>
      <c r="I135" s="216">
        <v>0.208</v>
      </c>
      <c r="J135" s="211">
        <v>96</v>
      </c>
      <c r="K135" s="212">
        <v>0</v>
      </c>
      <c r="L135" s="212">
        <v>1</v>
      </c>
      <c r="M135" s="83">
        <v>0</v>
      </c>
      <c r="N135" s="212">
        <v>0</v>
      </c>
      <c r="O135" s="212">
        <v>23</v>
      </c>
      <c r="P135" s="83">
        <v>25</v>
      </c>
      <c r="Q135" s="212">
        <v>1</v>
      </c>
      <c r="R135" s="212">
        <v>1</v>
      </c>
    </row>
    <row r="136" spans="2:18" ht="13.5">
      <c r="B136" s="52"/>
      <c r="C136" s="63"/>
      <c r="D136" s="10" t="s">
        <v>205</v>
      </c>
      <c r="E136" s="46">
        <v>3</v>
      </c>
      <c r="F136" s="46">
        <v>0</v>
      </c>
      <c r="G136" s="215">
        <v>0</v>
      </c>
      <c r="H136" s="215">
        <v>0</v>
      </c>
      <c r="I136" s="216">
        <v>0.29</v>
      </c>
      <c r="J136" s="211">
        <v>97</v>
      </c>
      <c r="K136" s="212">
        <v>0</v>
      </c>
      <c r="L136" s="212">
        <v>1</v>
      </c>
      <c r="M136" s="83">
        <v>0</v>
      </c>
      <c r="N136" s="212">
        <v>0</v>
      </c>
      <c r="O136" s="212">
        <v>109</v>
      </c>
      <c r="P136" s="83">
        <v>113</v>
      </c>
      <c r="Q136" s="212">
        <v>1</v>
      </c>
      <c r="R136" s="212">
        <v>0</v>
      </c>
    </row>
    <row r="137" spans="2:18" ht="13.5">
      <c r="B137" s="52"/>
      <c r="C137" s="63"/>
      <c r="D137" s="10" t="s">
        <v>116</v>
      </c>
      <c r="E137" s="46">
        <v>28</v>
      </c>
      <c r="F137" s="46">
        <v>10</v>
      </c>
      <c r="G137" s="215">
        <v>0.01876172607879925</v>
      </c>
      <c r="H137" s="215">
        <v>0.35714285714285715</v>
      </c>
      <c r="I137" s="216">
        <v>0.173</v>
      </c>
      <c r="J137" s="211">
        <v>98</v>
      </c>
      <c r="K137" s="212">
        <v>0</v>
      </c>
      <c r="L137" s="212">
        <v>1</v>
      </c>
      <c r="M137" s="83">
        <v>0</v>
      </c>
      <c r="N137" s="212">
        <v>0</v>
      </c>
      <c r="O137" s="212">
        <v>31</v>
      </c>
      <c r="P137" s="83">
        <v>16</v>
      </c>
      <c r="Q137" s="212">
        <v>1</v>
      </c>
      <c r="R137" s="212">
        <v>1</v>
      </c>
    </row>
    <row r="138" spans="2:18" ht="13.5">
      <c r="B138" s="52"/>
      <c r="C138" s="63"/>
      <c r="D138" s="10" t="s">
        <v>206</v>
      </c>
      <c r="E138" s="46">
        <v>8</v>
      </c>
      <c r="F138" s="46">
        <v>0</v>
      </c>
      <c r="G138" s="215">
        <v>0</v>
      </c>
      <c r="H138" s="215">
        <v>0</v>
      </c>
      <c r="I138" s="216">
        <v>0.207</v>
      </c>
      <c r="J138" s="211">
        <v>99</v>
      </c>
      <c r="K138" s="212">
        <v>0</v>
      </c>
      <c r="L138" s="212">
        <v>1</v>
      </c>
      <c r="M138" s="83">
        <v>0</v>
      </c>
      <c r="N138" s="212">
        <v>0</v>
      </c>
      <c r="O138" s="212">
        <v>77</v>
      </c>
      <c r="P138" s="83">
        <v>93</v>
      </c>
      <c r="Q138" s="212">
        <v>1</v>
      </c>
      <c r="R138" s="212">
        <v>0</v>
      </c>
    </row>
    <row r="139" spans="2:18" ht="13.5">
      <c r="B139" s="52"/>
      <c r="C139" s="63"/>
      <c r="D139" s="10" t="s">
        <v>207</v>
      </c>
      <c r="E139" s="46">
        <v>22</v>
      </c>
      <c r="F139" s="46">
        <v>4</v>
      </c>
      <c r="G139" s="215">
        <v>0.0075046904315197</v>
      </c>
      <c r="H139" s="215">
        <v>0.18181818181818182</v>
      </c>
      <c r="I139" s="216">
        <v>0.187</v>
      </c>
      <c r="J139" s="211">
        <v>100</v>
      </c>
      <c r="K139" s="212">
        <v>0</v>
      </c>
      <c r="L139" s="212">
        <v>1</v>
      </c>
      <c r="M139" s="83">
        <v>0</v>
      </c>
      <c r="N139" s="212">
        <v>0</v>
      </c>
      <c r="O139" s="212">
        <v>43</v>
      </c>
      <c r="P139" s="83">
        <v>42</v>
      </c>
      <c r="Q139" s="212">
        <v>1</v>
      </c>
      <c r="R139" s="212">
        <v>1</v>
      </c>
    </row>
    <row r="140" spans="2:21" s="214" customFormat="1" ht="13.5">
      <c r="B140" s="207"/>
      <c r="C140" s="63"/>
      <c r="D140" s="10" t="s">
        <v>1345</v>
      </c>
      <c r="E140" s="46">
        <v>0</v>
      </c>
      <c r="F140" s="46">
        <v>0</v>
      </c>
      <c r="G140" s="215">
        <v>0</v>
      </c>
      <c r="H140" s="215">
        <v>0</v>
      </c>
      <c r="I140" s="216">
        <v>0.232</v>
      </c>
      <c r="J140" s="211">
        <v>101</v>
      </c>
      <c r="K140" s="212">
        <v>0</v>
      </c>
      <c r="L140" s="212">
        <v>1</v>
      </c>
      <c r="M140" s="212">
        <v>0</v>
      </c>
      <c r="N140" s="212">
        <v>0</v>
      </c>
      <c r="O140" s="212">
        <v>167</v>
      </c>
      <c r="P140" s="212">
        <v>167</v>
      </c>
      <c r="Q140" s="212">
        <v>0</v>
      </c>
      <c r="R140" s="212">
        <v>0</v>
      </c>
      <c r="S140" s="212"/>
      <c r="T140" s="212"/>
      <c r="U140" s="213"/>
    </row>
    <row r="141" spans="2:18" ht="13.5">
      <c r="B141" s="52"/>
      <c r="C141" s="63"/>
      <c r="D141" s="10" t="s">
        <v>117</v>
      </c>
      <c r="E141" s="46">
        <v>3</v>
      </c>
      <c r="F141" s="46">
        <v>1</v>
      </c>
      <c r="G141" s="215">
        <v>0.001876172607879925</v>
      </c>
      <c r="H141" s="215">
        <v>0.3333333333333333</v>
      </c>
      <c r="I141" s="216">
        <v>0.268</v>
      </c>
      <c r="J141" s="211">
        <v>102</v>
      </c>
      <c r="K141" s="212">
        <v>0</v>
      </c>
      <c r="L141" s="212">
        <v>1</v>
      </c>
      <c r="M141" s="83">
        <v>0</v>
      </c>
      <c r="N141" s="212">
        <v>0</v>
      </c>
      <c r="O141" s="212">
        <v>110</v>
      </c>
      <c r="P141" s="83">
        <v>86</v>
      </c>
      <c r="Q141" s="212">
        <v>1</v>
      </c>
      <c r="R141" s="212">
        <v>1</v>
      </c>
    </row>
    <row r="142" spans="2:18" ht="13.5">
      <c r="B142" s="52"/>
      <c r="C142" s="63"/>
      <c r="D142" s="10" t="s">
        <v>208</v>
      </c>
      <c r="E142" s="46">
        <v>12</v>
      </c>
      <c r="F142" s="46">
        <v>5</v>
      </c>
      <c r="G142" s="215">
        <v>0.009380863039399626</v>
      </c>
      <c r="H142" s="215">
        <v>0.4166666666666667</v>
      </c>
      <c r="I142" s="216">
        <v>0.172</v>
      </c>
      <c r="J142" s="211">
        <v>103</v>
      </c>
      <c r="K142" s="212">
        <v>0</v>
      </c>
      <c r="L142" s="212">
        <v>1</v>
      </c>
      <c r="M142" s="83">
        <v>0</v>
      </c>
      <c r="N142" s="212">
        <v>0</v>
      </c>
      <c r="O142" s="212">
        <v>63</v>
      </c>
      <c r="P142" s="83">
        <v>37</v>
      </c>
      <c r="Q142" s="212">
        <v>1</v>
      </c>
      <c r="R142" s="212">
        <v>1</v>
      </c>
    </row>
    <row r="143" spans="2:21" s="214" customFormat="1" ht="13.5">
      <c r="B143" s="207"/>
      <c r="C143" s="217" t="s">
        <v>19</v>
      </c>
      <c r="D143" s="15"/>
      <c r="E143" s="218">
        <v>195</v>
      </c>
      <c r="F143" s="218">
        <v>42</v>
      </c>
      <c r="G143" s="219">
        <v>0.07879924953095685</v>
      </c>
      <c r="H143" s="219">
        <v>0.2153846153846154</v>
      </c>
      <c r="I143" s="220">
        <v>0.187</v>
      </c>
      <c r="J143" s="211">
        <v>104</v>
      </c>
      <c r="K143" s="212">
        <v>1</v>
      </c>
      <c r="L143" s="212">
        <v>0</v>
      </c>
      <c r="M143" s="212">
        <v>4</v>
      </c>
      <c r="N143" s="212">
        <v>6</v>
      </c>
      <c r="O143" s="212">
        <v>0</v>
      </c>
      <c r="P143" s="212">
        <v>0</v>
      </c>
      <c r="Q143" s="212">
        <v>1</v>
      </c>
      <c r="R143" s="212">
        <v>1</v>
      </c>
      <c r="S143" s="212"/>
      <c r="T143" s="212"/>
      <c r="U143" s="213"/>
    </row>
    <row r="144" spans="2:18" ht="13.5">
      <c r="B144" s="52"/>
      <c r="C144" s="63"/>
      <c r="D144" s="10" t="s">
        <v>118</v>
      </c>
      <c r="E144" s="46">
        <v>132</v>
      </c>
      <c r="F144" s="46">
        <v>32</v>
      </c>
      <c r="G144" s="215">
        <v>0.0600375234521576</v>
      </c>
      <c r="H144" s="215">
        <v>0.24242424242424243</v>
      </c>
      <c r="I144" s="216">
        <v>0.183</v>
      </c>
      <c r="J144" s="211">
        <v>105</v>
      </c>
      <c r="K144" s="212">
        <v>0</v>
      </c>
      <c r="L144" s="212">
        <v>1</v>
      </c>
      <c r="M144" s="221">
        <v>0</v>
      </c>
      <c r="N144" s="212">
        <v>0</v>
      </c>
      <c r="O144" s="212">
        <v>3</v>
      </c>
      <c r="P144" s="83">
        <v>1</v>
      </c>
      <c r="Q144" s="212">
        <v>1</v>
      </c>
      <c r="R144" s="212">
        <v>1</v>
      </c>
    </row>
    <row r="145" spans="2:21" s="214" customFormat="1" ht="13.5">
      <c r="B145" s="207"/>
      <c r="C145" s="63"/>
      <c r="D145" s="10" t="s">
        <v>209</v>
      </c>
      <c r="E145" s="46">
        <v>12</v>
      </c>
      <c r="F145" s="46">
        <v>2</v>
      </c>
      <c r="G145" s="215">
        <v>0.00375234521575985</v>
      </c>
      <c r="H145" s="215">
        <v>0.16666666666666666</v>
      </c>
      <c r="I145" s="216">
        <v>0.225</v>
      </c>
      <c r="J145" s="211">
        <v>106</v>
      </c>
      <c r="K145" s="212">
        <v>0</v>
      </c>
      <c r="L145" s="212">
        <v>1</v>
      </c>
      <c r="M145" s="212">
        <v>0</v>
      </c>
      <c r="N145" s="212">
        <v>0</v>
      </c>
      <c r="O145" s="212">
        <v>64</v>
      </c>
      <c r="P145" s="212">
        <v>63</v>
      </c>
      <c r="Q145" s="212">
        <v>1</v>
      </c>
      <c r="R145" s="212">
        <v>1</v>
      </c>
      <c r="S145" s="212"/>
      <c r="T145" s="212"/>
      <c r="U145" s="213"/>
    </row>
    <row r="146" spans="2:18" ht="13.5">
      <c r="B146" s="52"/>
      <c r="C146" s="63"/>
      <c r="D146" s="10" t="s">
        <v>210</v>
      </c>
      <c r="E146" s="46">
        <v>38</v>
      </c>
      <c r="F146" s="46">
        <v>7</v>
      </c>
      <c r="G146" s="215">
        <v>0.013133208255159476</v>
      </c>
      <c r="H146" s="215">
        <v>0.18421052631578946</v>
      </c>
      <c r="I146" s="216">
        <v>0.207</v>
      </c>
      <c r="J146" s="211">
        <v>107</v>
      </c>
      <c r="K146" s="212">
        <v>0</v>
      </c>
      <c r="L146" s="212">
        <v>1</v>
      </c>
      <c r="M146" s="83">
        <v>0</v>
      </c>
      <c r="N146" s="212">
        <v>0</v>
      </c>
      <c r="O146" s="212">
        <v>20</v>
      </c>
      <c r="P146" s="83">
        <v>26</v>
      </c>
      <c r="Q146" s="212">
        <v>1</v>
      </c>
      <c r="R146" s="212">
        <v>1</v>
      </c>
    </row>
    <row r="147" spans="2:18" ht="13.5">
      <c r="B147" s="52"/>
      <c r="C147" s="63"/>
      <c r="D147" s="10" t="s">
        <v>211</v>
      </c>
      <c r="E147" s="46">
        <v>13</v>
      </c>
      <c r="F147" s="46">
        <v>1</v>
      </c>
      <c r="G147" s="215">
        <v>0.001876172607879925</v>
      </c>
      <c r="H147" s="215">
        <v>0.07692307692307693</v>
      </c>
      <c r="I147" s="216">
        <v>0.187</v>
      </c>
      <c r="J147" s="211">
        <v>108</v>
      </c>
      <c r="K147" s="212">
        <v>0</v>
      </c>
      <c r="L147" s="212">
        <v>1</v>
      </c>
      <c r="M147" s="83">
        <v>0</v>
      </c>
      <c r="N147" s="212">
        <v>0</v>
      </c>
      <c r="O147" s="212">
        <v>58</v>
      </c>
      <c r="P147" s="83">
        <v>77</v>
      </c>
      <c r="Q147" s="212">
        <v>1</v>
      </c>
      <c r="R147" s="212">
        <v>1</v>
      </c>
    </row>
    <row r="148" spans="2:21" s="214" customFormat="1" ht="13.5">
      <c r="B148" s="207"/>
      <c r="C148" s="217" t="s">
        <v>20</v>
      </c>
      <c r="D148" s="15"/>
      <c r="E148" s="218">
        <v>359</v>
      </c>
      <c r="F148" s="218">
        <v>95</v>
      </c>
      <c r="G148" s="219">
        <v>0.17823639774859287</v>
      </c>
      <c r="H148" s="219">
        <v>0.2646239554317549</v>
      </c>
      <c r="I148" s="220">
        <v>0.185</v>
      </c>
      <c r="J148" s="211">
        <v>109</v>
      </c>
      <c r="K148" s="212">
        <v>1</v>
      </c>
      <c r="L148" s="212">
        <v>0</v>
      </c>
      <c r="M148" s="212">
        <v>1</v>
      </c>
      <c r="N148" s="212">
        <v>1</v>
      </c>
      <c r="O148" s="212">
        <v>0</v>
      </c>
      <c r="P148" s="212">
        <v>0</v>
      </c>
      <c r="Q148" s="212">
        <v>1</v>
      </c>
      <c r="R148" s="212">
        <v>1</v>
      </c>
      <c r="S148" s="212"/>
      <c r="T148" s="212"/>
      <c r="U148" s="213"/>
    </row>
    <row r="149" spans="2:18" ht="13.5">
      <c r="B149" s="52"/>
      <c r="C149" s="63"/>
      <c r="D149" s="10" t="s">
        <v>119</v>
      </c>
      <c r="E149" s="46">
        <v>65</v>
      </c>
      <c r="F149" s="46">
        <v>15</v>
      </c>
      <c r="G149" s="215">
        <v>0.028142589118198873</v>
      </c>
      <c r="H149" s="215">
        <v>0.23076923076923078</v>
      </c>
      <c r="I149" s="216">
        <v>0.199</v>
      </c>
      <c r="J149" s="211">
        <v>110</v>
      </c>
      <c r="K149" s="212">
        <v>0</v>
      </c>
      <c r="L149" s="212">
        <v>1</v>
      </c>
      <c r="M149" s="83">
        <v>0</v>
      </c>
      <c r="N149" s="212">
        <v>0</v>
      </c>
      <c r="O149" s="212">
        <v>8</v>
      </c>
      <c r="P149" s="83">
        <v>7</v>
      </c>
      <c r="Q149" s="212">
        <v>1</v>
      </c>
      <c r="R149" s="212">
        <v>1</v>
      </c>
    </row>
    <row r="150" spans="2:18" ht="13.5">
      <c r="B150" s="52"/>
      <c r="C150" s="63"/>
      <c r="D150" s="10" t="s">
        <v>212</v>
      </c>
      <c r="E150" s="46">
        <v>54</v>
      </c>
      <c r="F150" s="46">
        <v>17</v>
      </c>
      <c r="G150" s="215">
        <v>0.03189493433395872</v>
      </c>
      <c r="H150" s="215">
        <v>0.3148148148148148</v>
      </c>
      <c r="I150" s="216">
        <v>0.167</v>
      </c>
      <c r="J150" s="211">
        <v>111</v>
      </c>
      <c r="K150" s="212">
        <v>0</v>
      </c>
      <c r="L150" s="212">
        <v>1</v>
      </c>
      <c r="M150" s="83">
        <v>0</v>
      </c>
      <c r="N150" s="212">
        <v>0</v>
      </c>
      <c r="O150" s="212">
        <v>13</v>
      </c>
      <c r="P150" s="83">
        <v>6</v>
      </c>
      <c r="Q150" s="212">
        <v>1</v>
      </c>
      <c r="R150" s="212">
        <v>1</v>
      </c>
    </row>
    <row r="151" spans="2:18" ht="13.5">
      <c r="B151" s="52"/>
      <c r="C151" s="63"/>
      <c r="D151" s="10" t="s">
        <v>213</v>
      </c>
      <c r="E151" s="46">
        <v>8</v>
      </c>
      <c r="F151" s="46">
        <v>2</v>
      </c>
      <c r="G151" s="215">
        <v>0.00375234521575985</v>
      </c>
      <c r="H151" s="215">
        <v>0.25</v>
      </c>
      <c r="I151" s="216">
        <v>0.2</v>
      </c>
      <c r="J151" s="211">
        <v>112</v>
      </c>
      <c r="K151" s="212">
        <v>0</v>
      </c>
      <c r="L151" s="212">
        <v>1</v>
      </c>
      <c r="M151" s="83">
        <v>0</v>
      </c>
      <c r="N151" s="212">
        <v>0</v>
      </c>
      <c r="O151" s="212">
        <v>78</v>
      </c>
      <c r="P151" s="83">
        <v>69</v>
      </c>
      <c r="Q151" s="212">
        <v>1</v>
      </c>
      <c r="R151" s="212">
        <v>1</v>
      </c>
    </row>
    <row r="152" spans="2:18" ht="13.5">
      <c r="B152" s="52"/>
      <c r="C152" s="63"/>
      <c r="D152" s="10" t="s">
        <v>120</v>
      </c>
      <c r="E152" s="46">
        <v>51</v>
      </c>
      <c r="F152" s="46">
        <v>15</v>
      </c>
      <c r="G152" s="215">
        <v>0.028142589118198873</v>
      </c>
      <c r="H152" s="215">
        <v>0.29411764705882354</v>
      </c>
      <c r="I152" s="216">
        <v>0.191</v>
      </c>
      <c r="J152" s="211">
        <v>113</v>
      </c>
      <c r="K152" s="212">
        <v>0</v>
      </c>
      <c r="L152" s="212">
        <v>1</v>
      </c>
      <c r="M152" s="83">
        <v>0</v>
      </c>
      <c r="N152" s="212">
        <v>0</v>
      </c>
      <c r="O152" s="212">
        <v>14</v>
      </c>
      <c r="P152" s="83">
        <v>8</v>
      </c>
      <c r="Q152" s="212">
        <v>1</v>
      </c>
      <c r="R152" s="212">
        <v>1</v>
      </c>
    </row>
    <row r="153" spans="2:18" ht="13.5">
      <c r="B153" s="52"/>
      <c r="C153" s="63"/>
      <c r="D153" s="10" t="s">
        <v>121</v>
      </c>
      <c r="E153" s="46">
        <v>46</v>
      </c>
      <c r="F153" s="46">
        <v>8</v>
      </c>
      <c r="G153" s="215">
        <v>0.0150093808630394</v>
      </c>
      <c r="H153" s="215">
        <v>0.17391304347826086</v>
      </c>
      <c r="I153" s="216">
        <v>0.184</v>
      </c>
      <c r="J153" s="211">
        <v>114</v>
      </c>
      <c r="K153" s="212">
        <v>0</v>
      </c>
      <c r="L153" s="212">
        <v>1</v>
      </c>
      <c r="M153" s="83">
        <v>0</v>
      </c>
      <c r="N153" s="212">
        <v>0</v>
      </c>
      <c r="O153" s="212">
        <v>15</v>
      </c>
      <c r="P153" s="83">
        <v>24</v>
      </c>
      <c r="Q153" s="212">
        <v>1</v>
      </c>
      <c r="R153" s="212">
        <v>1</v>
      </c>
    </row>
    <row r="154" spans="2:18" ht="13.5">
      <c r="B154" s="52"/>
      <c r="C154" s="63"/>
      <c r="D154" s="10" t="s">
        <v>214</v>
      </c>
      <c r="E154" s="46">
        <v>5</v>
      </c>
      <c r="F154" s="46">
        <v>1</v>
      </c>
      <c r="G154" s="215">
        <v>0.001876172607879925</v>
      </c>
      <c r="H154" s="215">
        <v>0.2</v>
      </c>
      <c r="I154" s="216">
        <v>0.21</v>
      </c>
      <c r="J154" s="211">
        <v>115</v>
      </c>
      <c r="K154" s="212">
        <v>0</v>
      </c>
      <c r="L154" s="212">
        <v>1</v>
      </c>
      <c r="M154" s="83">
        <v>0</v>
      </c>
      <c r="N154" s="212">
        <v>0</v>
      </c>
      <c r="O154" s="212">
        <v>89</v>
      </c>
      <c r="P154" s="83">
        <v>81</v>
      </c>
      <c r="Q154" s="212">
        <v>1</v>
      </c>
      <c r="R154" s="212">
        <v>1</v>
      </c>
    </row>
    <row r="155" spans="2:18" ht="13.5">
      <c r="B155" s="52"/>
      <c r="C155" s="63"/>
      <c r="D155" s="10" t="s">
        <v>215</v>
      </c>
      <c r="E155" s="46">
        <v>4</v>
      </c>
      <c r="F155" s="46">
        <v>0</v>
      </c>
      <c r="G155" s="215">
        <v>0</v>
      </c>
      <c r="H155" s="215">
        <v>0</v>
      </c>
      <c r="I155" s="216">
        <v>0.267</v>
      </c>
      <c r="J155" s="211">
        <v>116</v>
      </c>
      <c r="K155" s="212">
        <v>0</v>
      </c>
      <c r="L155" s="212">
        <v>1</v>
      </c>
      <c r="M155" s="83">
        <v>0</v>
      </c>
      <c r="N155" s="212">
        <v>0</v>
      </c>
      <c r="O155" s="212">
        <v>98</v>
      </c>
      <c r="P155" s="83">
        <v>105</v>
      </c>
      <c r="Q155" s="212">
        <v>1</v>
      </c>
      <c r="R155" s="212">
        <v>0</v>
      </c>
    </row>
    <row r="156" spans="2:18" ht="13.5">
      <c r="B156" s="52"/>
      <c r="C156" s="63"/>
      <c r="D156" s="10" t="s">
        <v>1346</v>
      </c>
      <c r="E156" s="46">
        <v>30</v>
      </c>
      <c r="F156" s="46">
        <v>9</v>
      </c>
      <c r="G156" s="215">
        <v>0.016885553470919325</v>
      </c>
      <c r="H156" s="215">
        <v>0.3</v>
      </c>
      <c r="I156" s="216">
        <v>0.218</v>
      </c>
      <c r="J156" s="211">
        <v>117</v>
      </c>
      <c r="K156" s="212">
        <v>0</v>
      </c>
      <c r="L156" s="212">
        <v>1</v>
      </c>
      <c r="M156" s="83">
        <v>0</v>
      </c>
      <c r="N156" s="212">
        <v>0</v>
      </c>
      <c r="O156" s="212">
        <v>26</v>
      </c>
      <c r="P156" s="83">
        <v>19</v>
      </c>
      <c r="Q156" s="212">
        <v>1</v>
      </c>
      <c r="R156" s="212">
        <v>1</v>
      </c>
    </row>
    <row r="157" spans="2:21" s="214" customFormat="1" ht="13.5">
      <c r="B157" s="207"/>
      <c r="C157" s="63"/>
      <c r="D157" s="10" t="s">
        <v>216</v>
      </c>
      <c r="E157" s="46">
        <v>0</v>
      </c>
      <c r="F157" s="46">
        <v>0</v>
      </c>
      <c r="G157" s="215">
        <v>0</v>
      </c>
      <c r="H157" s="215">
        <v>0</v>
      </c>
      <c r="I157" s="216">
        <v>0.206</v>
      </c>
      <c r="J157" s="211">
        <v>118</v>
      </c>
      <c r="K157" s="212">
        <v>0</v>
      </c>
      <c r="L157" s="212">
        <v>1</v>
      </c>
      <c r="M157" s="212">
        <v>0</v>
      </c>
      <c r="N157" s="212">
        <v>0</v>
      </c>
      <c r="O157" s="212">
        <v>168</v>
      </c>
      <c r="P157" s="212">
        <v>168</v>
      </c>
      <c r="Q157" s="212">
        <v>0</v>
      </c>
      <c r="R157" s="212">
        <v>0</v>
      </c>
      <c r="S157" s="212"/>
      <c r="T157" s="212"/>
      <c r="U157" s="213"/>
    </row>
    <row r="158" spans="2:18" ht="13.5">
      <c r="B158" s="52"/>
      <c r="C158" s="63"/>
      <c r="D158" s="10" t="s">
        <v>217</v>
      </c>
      <c r="E158" s="46">
        <v>96</v>
      </c>
      <c r="F158" s="46">
        <v>28</v>
      </c>
      <c r="G158" s="215">
        <v>0.0525328330206379</v>
      </c>
      <c r="H158" s="215">
        <v>0.2916666666666667</v>
      </c>
      <c r="I158" s="216">
        <v>0.168</v>
      </c>
      <c r="J158" s="211">
        <v>119</v>
      </c>
      <c r="K158" s="212">
        <v>0</v>
      </c>
      <c r="L158" s="212">
        <v>1</v>
      </c>
      <c r="M158" s="83">
        <v>0</v>
      </c>
      <c r="N158" s="212">
        <v>0</v>
      </c>
      <c r="O158" s="212">
        <v>5</v>
      </c>
      <c r="P158" s="83">
        <v>3</v>
      </c>
      <c r="Q158" s="212">
        <v>1</v>
      </c>
      <c r="R158" s="212">
        <v>1</v>
      </c>
    </row>
    <row r="159" spans="2:21" s="214" customFormat="1" ht="13.5">
      <c r="B159" s="207"/>
      <c r="C159" s="217" t="s">
        <v>21</v>
      </c>
      <c r="D159" s="15"/>
      <c r="E159" s="218">
        <v>165</v>
      </c>
      <c r="F159" s="218">
        <v>56</v>
      </c>
      <c r="G159" s="219">
        <v>0.1050656660412758</v>
      </c>
      <c r="H159" s="219">
        <v>0.3393939393939394</v>
      </c>
      <c r="I159" s="220">
        <v>0.197</v>
      </c>
      <c r="J159" s="211">
        <v>120</v>
      </c>
      <c r="K159" s="212">
        <v>1</v>
      </c>
      <c r="L159" s="212">
        <v>0</v>
      </c>
      <c r="M159" s="212">
        <v>7</v>
      </c>
      <c r="N159" s="212">
        <v>3</v>
      </c>
      <c r="O159" s="212">
        <v>0</v>
      </c>
      <c r="P159" s="212">
        <v>0</v>
      </c>
      <c r="Q159" s="212">
        <v>1</v>
      </c>
      <c r="R159" s="212">
        <v>1</v>
      </c>
      <c r="S159" s="212"/>
      <c r="T159" s="212"/>
      <c r="U159" s="213"/>
    </row>
    <row r="160" spans="2:18" ht="13.5">
      <c r="B160" s="52"/>
      <c r="C160" s="63"/>
      <c r="D160" s="10" t="s">
        <v>218</v>
      </c>
      <c r="E160" s="46">
        <v>0</v>
      </c>
      <c r="F160" s="46">
        <v>0</v>
      </c>
      <c r="G160" s="215">
        <v>0</v>
      </c>
      <c r="H160" s="215">
        <v>0</v>
      </c>
      <c r="I160" s="216">
        <v>0.191</v>
      </c>
      <c r="J160" s="211">
        <v>121</v>
      </c>
      <c r="K160" s="212">
        <v>0</v>
      </c>
      <c r="L160" s="212">
        <v>1</v>
      </c>
      <c r="M160" s="83">
        <v>0</v>
      </c>
      <c r="N160" s="212">
        <v>0</v>
      </c>
      <c r="O160" s="212">
        <v>169</v>
      </c>
      <c r="P160" s="83">
        <v>169</v>
      </c>
      <c r="Q160" s="212">
        <v>0</v>
      </c>
      <c r="R160" s="212">
        <v>0</v>
      </c>
    </row>
    <row r="161" spans="2:18" ht="13.5">
      <c r="B161" s="52"/>
      <c r="C161" s="63"/>
      <c r="D161" s="10" t="s">
        <v>219</v>
      </c>
      <c r="E161" s="46">
        <v>35</v>
      </c>
      <c r="F161" s="46">
        <v>12</v>
      </c>
      <c r="G161" s="215">
        <v>0.0225140712945591</v>
      </c>
      <c r="H161" s="215">
        <v>0.34285714285714286</v>
      </c>
      <c r="I161" s="216">
        <v>0.187</v>
      </c>
      <c r="J161" s="211">
        <v>122</v>
      </c>
      <c r="K161" s="212">
        <v>0</v>
      </c>
      <c r="L161" s="212">
        <v>1</v>
      </c>
      <c r="M161" s="83">
        <v>0</v>
      </c>
      <c r="N161" s="212">
        <v>0</v>
      </c>
      <c r="O161" s="212">
        <v>24</v>
      </c>
      <c r="P161" s="83">
        <v>12</v>
      </c>
      <c r="Q161" s="212">
        <v>1</v>
      </c>
      <c r="R161" s="212">
        <v>1</v>
      </c>
    </row>
    <row r="162" spans="2:18" ht="13.5">
      <c r="B162" s="52"/>
      <c r="C162" s="63"/>
      <c r="D162" s="10" t="s">
        <v>122</v>
      </c>
      <c r="E162" s="46">
        <v>88</v>
      </c>
      <c r="F162" s="46">
        <v>23</v>
      </c>
      <c r="G162" s="215">
        <v>0.043151969981238276</v>
      </c>
      <c r="H162" s="215">
        <v>0.26136363636363635</v>
      </c>
      <c r="I162" s="216">
        <v>0.208</v>
      </c>
      <c r="J162" s="211">
        <v>123</v>
      </c>
      <c r="K162" s="212">
        <v>0</v>
      </c>
      <c r="L162" s="212">
        <v>1</v>
      </c>
      <c r="M162" s="83">
        <v>0</v>
      </c>
      <c r="N162" s="212">
        <v>0</v>
      </c>
      <c r="O162" s="212">
        <v>6</v>
      </c>
      <c r="P162" s="83">
        <v>5</v>
      </c>
      <c r="Q162" s="212">
        <v>1</v>
      </c>
      <c r="R162" s="212">
        <v>1</v>
      </c>
    </row>
    <row r="163" spans="2:18" ht="13.5">
      <c r="B163" s="52"/>
      <c r="C163" s="63"/>
      <c r="D163" s="10" t="s">
        <v>220</v>
      </c>
      <c r="E163" s="46">
        <v>1</v>
      </c>
      <c r="F163" s="46">
        <v>0</v>
      </c>
      <c r="G163" s="215">
        <v>0</v>
      </c>
      <c r="H163" s="215">
        <v>0</v>
      </c>
      <c r="I163" s="216">
        <v>0.212</v>
      </c>
      <c r="J163" s="211">
        <v>124</v>
      </c>
      <c r="K163" s="212">
        <v>0</v>
      </c>
      <c r="L163" s="212">
        <v>1</v>
      </c>
      <c r="M163" s="83">
        <v>0</v>
      </c>
      <c r="N163" s="212">
        <v>0</v>
      </c>
      <c r="O163" s="212">
        <v>124</v>
      </c>
      <c r="P163" s="83">
        <v>124</v>
      </c>
      <c r="Q163" s="212">
        <v>1</v>
      </c>
      <c r="R163" s="212">
        <v>0</v>
      </c>
    </row>
    <row r="164" spans="2:18" ht="13.5">
      <c r="B164" s="52"/>
      <c r="C164" s="63"/>
      <c r="D164" s="10" t="s">
        <v>221</v>
      </c>
      <c r="E164" s="46">
        <v>28</v>
      </c>
      <c r="F164" s="46">
        <v>15</v>
      </c>
      <c r="G164" s="215">
        <v>0.028142589118198873</v>
      </c>
      <c r="H164" s="215">
        <v>0.5357142857142857</v>
      </c>
      <c r="I164" s="216">
        <v>0.184</v>
      </c>
      <c r="J164" s="211">
        <v>125</v>
      </c>
      <c r="K164" s="212">
        <v>0</v>
      </c>
      <c r="L164" s="212">
        <v>1</v>
      </c>
      <c r="M164" s="221">
        <v>0</v>
      </c>
      <c r="N164" s="212">
        <v>0</v>
      </c>
      <c r="O164" s="212">
        <v>32</v>
      </c>
      <c r="P164" s="83">
        <v>9</v>
      </c>
      <c r="Q164" s="212">
        <v>1</v>
      </c>
      <c r="R164" s="212">
        <v>1</v>
      </c>
    </row>
    <row r="165" spans="2:21" s="214" customFormat="1" ht="13.5">
      <c r="B165" s="207"/>
      <c r="C165" s="63"/>
      <c r="D165" s="10" t="s">
        <v>222</v>
      </c>
      <c r="E165" s="46">
        <v>12</v>
      </c>
      <c r="F165" s="46">
        <v>6</v>
      </c>
      <c r="G165" s="215">
        <v>0.01125703564727955</v>
      </c>
      <c r="H165" s="215">
        <v>0.5</v>
      </c>
      <c r="I165" s="216">
        <v>0.18</v>
      </c>
      <c r="J165" s="211">
        <v>126</v>
      </c>
      <c r="K165" s="212">
        <v>0</v>
      </c>
      <c r="L165" s="212">
        <v>1</v>
      </c>
      <c r="M165" s="212">
        <v>0</v>
      </c>
      <c r="N165" s="212">
        <v>0</v>
      </c>
      <c r="O165" s="212">
        <v>65</v>
      </c>
      <c r="P165" s="212">
        <v>32</v>
      </c>
      <c r="Q165" s="212">
        <v>1</v>
      </c>
      <c r="R165" s="212">
        <v>1</v>
      </c>
      <c r="S165" s="212"/>
      <c r="T165" s="212"/>
      <c r="U165" s="213"/>
    </row>
    <row r="166" spans="2:18" ht="13.5">
      <c r="B166" s="52"/>
      <c r="C166" s="63"/>
      <c r="D166" s="10" t="s">
        <v>223</v>
      </c>
      <c r="E166" s="46">
        <v>1</v>
      </c>
      <c r="F166" s="46">
        <v>0</v>
      </c>
      <c r="G166" s="215">
        <v>0</v>
      </c>
      <c r="H166" s="215">
        <v>0</v>
      </c>
      <c r="I166" s="216">
        <v>0.196</v>
      </c>
      <c r="J166" s="211">
        <v>127</v>
      </c>
      <c r="K166" s="212">
        <v>0</v>
      </c>
      <c r="L166" s="212">
        <v>1</v>
      </c>
      <c r="M166" s="83">
        <v>0</v>
      </c>
      <c r="N166" s="212">
        <v>0</v>
      </c>
      <c r="O166" s="212">
        <v>125</v>
      </c>
      <c r="P166" s="83">
        <v>125</v>
      </c>
      <c r="Q166" s="212">
        <v>1</v>
      </c>
      <c r="R166" s="212">
        <v>0</v>
      </c>
    </row>
    <row r="167" spans="2:21" s="214" customFormat="1" ht="13.5">
      <c r="B167" s="207"/>
      <c r="C167" s="217" t="s">
        <v>22</v>
      </c>
      <c r="D167" s="15"/>
      <c r="E167" s="218">
        <v>125</v>
      </c>
      <c r="F167" s="218">
        <v>21</v>
      </c>
      <c r="G167" s="219">
        <v>0.039399624765478425</v>
      </c>
      <c r="H167" s="219">
        <v>0.168</v>
      </c>
      <c r="I167" s="220">
        <v>0.183</v>
      </c>
      <c r="J167" s="211">
        <v>128</v>
      </c>
      <c r="K167" s="212">
        <v>1</v>
      </c>
      <c r="L167" s="212">
        <v>0</v>
      </c>
      <c r="M167" s="212">
        <v>10</v>
      </c>
      <c r="N167" s="212">
        <v>10</v>
      </c>
      <c r="O167" s="212">
        <v>0</v>
      </c>
      <c r="P167" s="212">
        <v>0</v>
      </c>
      <c r="Q167" s="212">
        <v>1</v>
      </c>
      <c r="R167" s="212">
        <v>1</v>
      </c>
      <c r="S167" s="212"/>
      <c r="T167" s="212"/>
      <c r="U167" s="213"/>
    </row>
    <row r="168" spans="2:18" ht="13.5">
      <c r="B168" s="52"/>
      <c r="C168" s="63"/>
      <c r="D168" s="10" t="s">
        <v>123</v>
      </c>
      <c r="E168" s="46">
        <v>17</v>
      </c>
      <c r="F168" s="46">
        <v>6</v>
      </c>
      <c r="G168" s="215">
        <v>0.01125703564727955</v>
      </c>
      <c r="H168" s="215">
        <v>0.35294117647058826</v>
      </c>
      <c r="I168" s="216">
        <v>0.203</v>
      </c>
      <c r="J168" s="211">
        <v>129</v>
      </c>
      <c r="K168" s="212">
        <v>0</v>
      </c>
      <c r="L168" s="212">
        <v>1</v>
      </c>
      <c r="M168" s="83">
        <v>0</v>
      </c>
      <c r="N168" s="212">
        <v>0</v>
      </c>
      <c r="O168" s="212">
        <v>52</v>
      </c>
      <c r="P168" s="83">
        <v>31</v>
      </c>
      <c r="Q168" s="212">
        <v>1</v>
      </c>
      <c r="R168" s="212">
        <v>1</v>
      </c>
    </row>
    <row r="169" spans="2:18" ht="13.5">
      <c r="B169" s="52"/>
      <c r="C169" s="63"/>
      <c r="D169" s="10" t="s">
        <v>224</v>
      </c>
      <c r="E169" s="46">
        <v>0</v>
      </c>
      <c r="F169" s="46">
        <v>0</v>
      </c>
      <c r="G169" s="215">
        <v>0</v>
      </c>
      <c r="H169" s="215">
        <v>0</v>
      </c>
      <c r="I169" s="216">
        <v>0.219</v>
      </c>
      <c r="J169" s="211">
        <v>130</v>
      </c>
      <c r="K169" s="212">
        <v>0</v>
      </c>
      <c r="L169" s="212">
        <v>1</v>
      </c>
      <c r="M169" s="83">
        <v>0</v>
      </c>
      <c r="N169" s="212">
        <v>0</v>
      </c>
      <c r="O169" s="212">
        <v>170</v>
      </c>
      <c r="P169" s="83">
        <v>170</v>
      </c>
      <c r="Q169" s="212">
        <v>0</v>
      </c>
      <c r="R169" s="212">
        <v>0</v>
      </c>
    </row>
    <row r="170" spans="2:18" ht="13.5">
      <c r="B170" s="52"/>
      <c r="C170" s="63"/>
      <c r="D170" s="10" t="s">
        <v>124</v>
      </c>
      <c r="E170" s="46">
        <v>75</v>
      </c>
      <c r="F170" s="46">
        <v>12</v>
      </c>
      <c r="G170" s="215">
        <v>0.0225140712945591</v>
      </c>
      <c r="H170" s="215">
        <v>0.16</v>
      </c>
      <c r="I170" s="216">
        <v>0.18</v>
      </c>
      <c r="J170" s="211">
        <v>131</v>
      </c>
      <c r="K170" s="212">
        <v>0</v>
      </c>
      <c r="L170" s="212">
        <v>1</v>
      </c>
      <c r="M170" s="83">
        <v>0</v>
      </c>
      <c r="N170" s="212">
        <v>0</v>
      </c>
      <c r="O170" s="212">
        <v>7</v>
      </c>
      <c r="P170" s="83">
        <v>11</v>
      </c>
      <c r="Q170" s="212">
        <v>1</v>
      </c>
      <c r="R170" s="212">
        <v>1</v>
      </c>
    </row>
    <row r="171" spans="2:18" ht="13.5">
      <c r="B171" s="52"/>
      <c r="C171" s="63"/>
      <c r="D171" s="10" t="s">
        <v>225</v>
      </c>
      <c r="E171" s="46">
        <v>1</v>
      </c>
      <c r="F171" s="46">
        <v>0</v>
      </c>
      <c r="G171" s="215">
        <v>0</v>
      </c>
      <c r="H171" s="215">
        <v>0</v>
      </c>
      <c r="I171" s="216">
        <v>0.158</v>
      </c>
      <c r="J171" s="211">
        <v>132</v>
      </c>
      <c r="K171" s="212">
        <v>0</v>
      </c>
      <c r="L171" s="212">
        <v>1</v>
      </c>
      <c r="M171" s="83">
        <v>0</v>
      </c>
      <c r="N171" s="212">
        <v>0</v>
      </c>
      <c r="O171" s="212">
        <v>126</v>
      </c>
      <c r="P171" s="83">
        <v>126</v>
      </c>
      <c r="Q171" s="212">
        <v>1</v>
      </c>
      <c r="R171" s="212">
        <v>0</v>
      </c>
    </row>
    <row r="172" spans="2:18" ht="13.5">
      <c r="B172" s="52"/>
      <c r="C172" s="63"/>
      <c r="D172" s="10" t="s">
        <v>226</v>
      </c>
      <c r="E172" s="46">
        <v>0</v>
      </c>
      <c r="F172" s="46">
        <v>0</v>
      </c>
      <c r="G172" s="215">
        <v>0</v>
      </c>
      <c r="H172" s="215">
        <v>0</v>
      </c>
      <c r="I172" s="216">
        <v>0.213</v>
      </c>
      <c r="J172" s="211">
        <v>133</v>
      </c>
      <c r="K172" s="212">
        <v>0</v>
      </c>
      <c r="L172" s="212">
        <v>1</v>
      </c>
      <c r="M172" s="83">
        <v>0</v>
      </c>
      <c r="N172" s="212">
        <v>0</v>
      </c>
      <c r="O172" s="212">
        <v>171</v>
      </c>
      <c r="P172" s="83">
        <v>171</v>
      </c>
      <c r="Q172" s="212">
        <v>0</v>
      </c>
      <c r="R172" s="212">
        <v>0</v>
      </c>
    </row>
    <row r="173" spans="2:18" ht="13.5">
      <c r="B173" s="52"/>
      <c r="C173" s="63"/>
      <c r="D173" s="10" t="s">
        <v>227</v>
      </c>
      <c r="E173" s="46">
        <v>3</v>
      </c>
      <c r="F173" s="46">
        <v>0</v>
      </c>
      <c r="G173" s="215">
        <v>0</v>
      </c>
      <c r="H173" s="215">
        <v>0</v>
      </c>
      <c r="I173" s="216">
        <v>0.191</v>
      </c>
      <c r="J173" s="211">
        <v>134</v>
      </c>
      <c r="K173" s="212">
        <v>0</v>
      </c>
      <c r="L173" s="212">
        <v>1</v>
      </c>
      <c r="M173" s="83">
        <v>0</v>
      </c>
      <c r="N173" s="212">
        <v>0</v>
      </c>
      <c r="O173" s="212">
        <v>111</v>
      </c>
      <c r="P173" s="83">
        <v>114</v>
      </c>
      <c r="Q173" s="212">
        <v>1</v>
      </c>
      <c r="R173" s="212">
        <v>0</v>
      </c>
    </row>
    <row r="174" spans="2:18" ht="13.5">
      <c r="B174" s="52"/>
      <c r="C174" s="63"/>
      <c r="D174" s="10" t="s">
        <v>228</v>
      </c>
      <c r="E174" s="46">
        <v>0</v>
      </c>
      <c r="F174" s="46">
        <v>0</v>
      </c>
      <c r="G174" s="215">
        <v>0</v>
      </c>
      <c r="H174" s="215">
        <v>0</v>
      </c>
      <c r="I174" s="216">
        <v>0.211</v>
      </c>
      <c r="J174" s="211">
        <v>135</v>
      </c>
      <c r="K174" s="212">
        <v>0</v>
      </c>
      <c r="L174" s="212">
        <v>1</v>
      </c>
      <c r="M174" s="83">
        <v>0</v>
      </c>
      <c r="N174" s="212">
        <v>0</v>
      </c>
      <c r="O174" s="212">
        <v>172</v>
      </c>
      <c r="P174" s="83">
        <v>172</v>
      </c>
      <c r="Q174" s="212">
        <v>0</v>
      </c>
      <c r="R174" s="212">
        <v>0</v>
      </c>
    </row>
    <row r="175" spans="2:18" ht="13.5">
      <c r="B175" s="52"/>
      <c r="C175" s="63"/>
      <c r="D175" s="10" t="s">
        <v>229</v>
      </c>
      <c r="E175" s="46">
        <v>6</v>
      </c>
      <c r="F175" s="46">
        <v>0</v>
      </c>
      <c r="G175" s="215">
        <v>0</v>
      </c>
      <c r="H175" s="215">
        <v>0</v>
      </c>
      <c r="I175" s="216">
        <v>0.173</v>
      </c>
      <c r="J175" s="211">
        <v>136</v>
      </c>
      <c r="K175" s="212">
        <v>0</v>
      </c>
      <c r="L175" s="212">
        <v>1</v>
      </c>
      <c r="M175" s="212">
        <v>0</v>
      </c>
      <c r="N175" s="212">
        <v>0</v>
      </c>
      <c r="O175" s="212">
        <v>85</v>
      </c>
      <c r="P175" s="83">
        <v>97</v>
      </c>
      <c r="Q175" s="212">
        <v>1</v>
      </c>
      <c r="R175" s="212">
        <v>0</v>
      </c>
    </row>
    <row r="176" spans="2:21" s="214" customFormat="1" ht="13.5">
      <c r="B176" s="207"/>
      <c r="C176" s="63"/>
      <c r="D176" s="10" t="s">
        <v>230</v>
      </c>
      <c r="E176" s="46">
        <v>0</v>
      </c>
      <c r="F176" s="46">
        <v>0</v>
      </c>
      <c r="G176" s="215">
        <v>0</v>
      </c>
      <c r="H176" s="215">
        <v>0</v>
      </c>
      <c r="I176" s="216">
        <v>0.278</v>
      </c>
      <c r="J176" s="211">
        <v>137</v>
      </c>
      <c r="K176" s="212">
        <v>0</v>
      </c>
      <c r="L176" s="212">
        <v>1</v>
      </c>
      <c r="M176" s="212">
        <v>0</v>
      </c>
      <c r="N176" s="212">
        <v>0</v>
      </c>
      <c r="O176" s="212">
        <v>173</v>
      </c>
      <c r="P176" s="212">
        <v>173</v>
      </c>
      <c r="Q176" s="212">
        <v>0</v>
      </c>
      <c r="R176" s="212">
        <v>0</v>
      </c>
      <c r="S176" s="212"/>
      <c r="T176" s="212"/>
      <c r="U176" s="213"/>
    </row>
    <row r="177" spans="2:18" ht="13.5">
      <c r="B177" s="52"/>
      <c r="C177" s="63"/>
      <c r="D177" s="10" t="s">
        <v>125</v>
      </c>
      <c r="E177" s="46">
        <v>23</v>
      </c>
      <c r="F177" s="46">
        <v>3</v>
      </c>
      <c r="G177" s="215">
        <v>0.005628517823639775</v>
      </c>
      <c r="H177" s="215">
        <v>0.13043478260869565</v>
      </c>
      <c r="I177" s="216">
        <v>0.2</v>
      </c>
      <c r="J177" s="211">
        <v>138</v>
      </c>
      <c r="K177" s="212">
        <v>0</v>
      </c>
      <c r="L177" s="212">
        <v>1</v>
      </c>
      <c r="M177" s="83">
        <v>0</v>
      </c>
      <c r="N177" s="212">
        <v>0</v>
      </c>
      <c r="O177" s="212">
        <v>40</v>
      </c>
      <c r="P177" s="83">
        <v>47</v>
      </c>
      <c r="Q177" s="212">
        <v>1</v>
      </c>
      <c r="R177" s="212">
        <v>1</v>
      </c>
    </row>
    <row r="178" spans="2:21" s="214" customFormat="1" ht="13.5">
      <c r="B178" s="207"/>
      <c r="C178" s="217" t="s">
        <v>23</v>
      </c>
      <c r="D178" s="15"/>
      <c r="E178" s="218">
        <v>53</v>
      </c>
      <c r="F178" s="218">
        <v>4</v>
      </c>
      <c r="G178" s="219">
        <v>0.0075046904315197</v>
      </c>
      <c r="H178" s="219">
        <v>0.07547169811320754</v>
      </c>
      <c r="I178" s="220">
        <v>0.181</v>
      </c>
      <c r="J178" s="211">
        <v>139</v>
      </c>
      <c r="K178" s="212">
        <v>1</v>
      </c>
      <c r="L178" s="212">
        <v>0</v>
      </c>
      <c r="M178" s="212">
        <v>17</v>
      </c>
      <c r="N178" s="212">
        <v>18</v>
      </c>
      <c r="O178" s="212">
        <v>0</v>
      </c>
      <c r="P178" s="212">
        <v>0</v>
      </c>
      <c r="Q178" s="212">
        <v>1</v>
      </c>
      <c r="R178" s="212">
        <v>1</v>
      </c>
      <c r="S178" s="212"/>
      <c r="T178" s="212"/>
      <c r="U178" s="213"/>
    </row>
    <row r="179" spans="2:18" ht="13.5">
      <c r="B179" s="52"/>
      <c r="C179" s="63"/>
      <c r="D179" s="10" t="s">
        <v>231</v>
      </c>
      <c r="E179" s="46">
        <v>25</v>
      </c>
      <c r="F179" s="46">
        <v>3</v>
      </c>
      <c r="G179" s="215">
        <v>0.005628517823639775</v>
      </c>
      <c r="H179" s="215">
        <v>0.12</v>
      </c>
      <c r="I179" s="216">
        <v>0.167</v>
      </c>
      <c r="J179" s="211">
        <v>140</v>
      </c>
      <c r="K179" s="212">
        <v>0</v>
      </c>
      <c r="L179" s="212">
        <v>1</v>
      </c>
      <c r="M179" s="83">
        <v>0</v>
      </c>
      <c r="N179" s="212">
        <v>0</v>
      </c>
      <c r="O179" s="212">
        <v>35</v>
      </c>
      <c r="P179" s="83">
        <v>46</v>
      </c>
      <c r="Q179" s="212">
        <v>1</v>
      </c>
      <c r="R179" s="212">
        <v>1</v>
      </c>
    </row>
    <row r="180" spans="2:18" ht="13.5">
      <c r="B180" s="52"/>
      <c r="C180" s="63"/>
      <c r="D180" s="10" t="s">
        <v>232</v>
      </c>
      <c r="E180" s="46">
        <v>13</v>
      </c>
      <c r="F180" s="46">
        <v>0</v>
      </c>
      <c r="G180" s="215">
        <v>0</v>
      </c>
      <c r="H180" s="215">
        <v>0</v>
      </c>
      <c r="I180" s="216">
        <v>0.172</v>
      </c>
      <c r="J180" s="211">
        <v>141</v>
      </c>
      <c r="K180" s="212">
        <v>0</v>
      </c>
      <c r="L180" s="212">
        <v>1</v>
      </c>
      <c r="M180" s="83">
        <v>0</v>
      </c>
      <c r="N180" s="212">
        <v>0</v>
      </c>
      <c r="O180" s="212">
        <v>59</v>
      </c>
      <c r="P180" s="83">
        <v>90</v>
      </c>
      <c r="Q180" s="212">
        <v>1</v>
      </c>
      <c r="R180" s="212">
        <v>0</v>
      </c>
    </row>
    <row r="181" spans="2:18" ht="13.5">
      <c r="B181" s="52"/>
      <c r="C181" s="63"/>
      <c r="D181" s="10" t="s">
        <v>233</v>
      </c>
      <c r="E181" s="46">
        <v>0</v>
      </c>
      <c r="F181" s="46">
        <v>0</v>
      </c>
      <c r="G181" s="215">
        <v>0</v>
      </c>
      <c r="H181" s="215">
        <v>0</v>
      </c>
      <c r="I181" s="216">
        <v>0.183</v>
      </c>
      <c r="J181" s="211">
        <v>142</v>
      </c>
      <c r="K181" s="212">
        <v>0</v>
      </c>
      <c r="L181" s="212">
        <v>1</v>
      </c>
      <c r="M181" s="83">
        <v>0</v>
      </c>
      <c r="N181" s="212">
        <v>0</v>
      </c>
      <c r="O181" s="212">
        <v>174</v>
      </c>
      <c r="P181" s="83">
        <v>174</v>
      </c>
      <c r="Q181" s="212">
        <v>0</v>
      </c>
      <c r="R181" s="212">
        <v>0</v>
      </c>
    </row>
    <row r="182" spans="2:18" ht="13.5">
      <c r="B182" s="52"/>
      <c r="C182" s="63"/>
      <c r="D182" s="10" t="s">
        <v>126</v>
      </c>
      <c r="E182" s="46">
        <v>8</v>
      </c>
      <c r="F182" s="46">
        <v>0</v>
      </c>
      <c r="G182" s="215">
        <v>0</v>
      </c>
      <c r="H182" s="215">
        <v>0</v>
      </c>
      <c r="I182" s="216">
        <v>0.179</v>
      </c>
      <c r="J182" s="211">
        <v>143</v>
      </c>
      <c r="K182" s="212">
        <v>0</v>
      </c>
      <c r="L182" s="212">
        <v>1</v>
      </c>
      <c r="M182" s="83">
        <v>0</v>
      </c>
      <c r="N182" s="212">
        <v>0</v>
      </c>
      <c r="O182" s="212">
        <v>79</v>
      </c>
      <c r="P182" s="83">
        <v>94</v>
      </c>
      <c r="Q182" s="212">
        <v>1</v>
      </c>
      <c r="R182" s="212">
        <v>0</v>
      </c>
    </row>
    <row r="183" spans="2:18" ht="13.5">
      <c r="B183" s="52"/>
      <c r="C183" s="63"/>
      <c r="D183" s="10" t="s">
        <v>234</v>
      </c>
      <c r="E183" s="46">
        <v>0</v>
      </c>
      <c r="F183" s="46">
        <v>0</v>
      </c>
      <c r="G183" s="215">
        <v>0</v>
      </c>
      <c r="H183" s="215">
        <v>0</v>
      </c>
      <c r="I183" s="216">
        <v>0.333</v>
      </c>
      <c r="J183" s="211">
        <v>144</v>
      </c>
      <c r="K183" s="212">
        <v>0</v>
      </c>
      <c r="L183" s="212">
        <v>1</v>
      </c>
      <c r="M183" s="83">
        <v>0</v>
      </c>
      <c r="N183" s="212">
        <v>0</v>
      </c>
      <c r="O183" s="212">
        <v>175</v>
      </c>
      <c r="P183" s="83">
        <v>175</v>
      </c>
      <c r="Q183" s="212">
        <v>0</v>
      </c>
      <c r="R183" s="212">
        <v>0</v>
      </c>
    </row>
    <row r="184" spans="2:18" ht="13.5">
      <c r="B184" s="52"/>
      <c r="C184" s="63"/>
      <c r="D184" s="10" t="s">
        <v>235</v>
      </c>
      <c r="E184" s="46">
        <v>0</v>
      </c>
      <c r="F184" s="46">
        <v>0</v>
      </c>
      <c r="G184" s="215">
        <v>0</v>
      </c>
      <c r="H184" s="215">
        <v>0</v>
      </c>
      <c r="I184" s="216">
        <v>0.218</v>
      </c>
      <c r="J184" s="211">
        <v>145</v>
      </c>
      <c r="K184" s="212">
        <v>0</v>
      </c>
      <c r="L184" s="212">
        <v>1</v>
      </c>
      <c r="M184" s="83">
        <v>0</v>
      </c>
      <c r="N184" s="212">
        <v>0</v>
      </c>
      <c r="O184" s="212">
        <v>176</v>
      </c>
      <c r="P184" s="83">
        <v>176</v>
      </c>
      <c r="Q184" s="212">
        <v>0</v>
      </c>
      <c r="R184" s="212">
        <v>0</v>
      </c>
    </row>
    <row r="185" spans="2:18" ht="13.5">
      <c r="B185" s="52"/>
      <c r="C185" s="63"/>
      <c r="D185" s="10" t="s">
        <v>236</v>
      </c>
      <c r="E185" s="46">
        <v>4</v>
      </c>
      <c r="F185" s="46">
        <v>0</v>
      </c>
      <c r="G185" s="215">
        <v>0</v>
      </c>
      <c r="H185" s="215">
        <v>0</v>
      </c>
      <c r="I185" s="216">
        <v>0.193</v>
      </c>
      <c r="J185" s="211">
        <v>146</v>
      </c>
      <c r="K185" s="212">
        <v>0</v>
      </c>
      <c r="L185" s="212">
        <v>1</v>
      </c>
      <c r="M185" s="83">
        <v>0</v>
      </c>
      <c r="N185" s="212">
        <v>0</v>
      </c>
      <c r="O185" s="212">
        <v>99</v>
      </c>
      <c r="P185" s="83">
        <v>106</v>
      </c>
      <c r="Q185" s="212">
        <v>1</v>
      </c>
      <c r="R185" s="212">
        <v>0</v>
      </c>
    </row>
    <row r="186" spans="2:18" ht="13.5">
      <c r="B186" s="52"/>
      <c r="C186" s="63"/>
      <c r="D186" s="10" t="s">
        <v>237</v>
      </c>
      <c r="E186" s="46">
        <v>0</v>
      </c>
      <c r="F186" s="46">
        <v>0</v>
      </c>
      <c r="G186" s="215">
        <v>0</v>
      </c>
      <c r="H186" s="215">
        <v>0</v>
      </c>
      <c r="I186" s="216">
        <v>0.169</v>
      </c>
      <c r="J186" s="211">
        <v>147</v>
      </c>
      <c r="K186" s="212">
        <v>0</v>
      </c>
      <c r="L186" s="212">
        <v>1</v>
      </c>
      <c r="M186" s="83">
        <v>0</v>
      </c>
      <c r="N186" s="212">
        <v>0</v>
      </c>
      <c r="O186" s="212">
        <v>177</v>
      </c>
      <c r="P186" s="83">
        <v>177</v>
      </c>
      <c r="Q186" s="212">
        <v>0</v>
      </c>
      <c r="R186" s="212">
        <v>0</v>
      </c>
    </row>
    <row r="187" spans="2:18" ht="13.5">
      <c r="B187" s="52"/>
      <c r="C187" s="63"/>
      <c r="D187" s="10" t="s">
        <v>238</v>
      </c>
      <c r="E187" s="46">
        <v>2</v>
      </c>
      <c r="F187" s="46">
        <v>1</v>
      </c>
      <c r="G187" s="215">
        <v>0.001876172607879925</v>
      </c>
      <c r="H187" s="215">
        <v>0.5</v>
      </c>
      <c r="I187" s="216">
        <v>0.187</v>
      </c>
      <c r="J187" s="211">
        <v>148</v>
      </c>
      <c r="K187" s="212">
        <v>0</v>
      </c>
      <c r="L187" s="212">
        <v>1</v>
      </c>
      <c r="M187" s="83">
        <v>0</v>
      </c>
      <c r="N187" s="212">
        <v>0</v>
      </c>
      <c r="O187" s="212">
        <v>118</v>
      </c>
      <c r="P187" s="83">
        <v>89</v>
      </c>
      <c r="Q187" s="212">
        <v>1</v>
      </c>
      <c r="R187" s="212">
        <v>1</v>
      </c>
    </row>
    <row r="188" spans="2:21" s="214" customFormat="1" ht="13.5">
      <c r="B188" s="207"/>
      <c r="C188" s="63"/>
      <c r="D188" s="10" t="s">
        <v>239</v>
      </c>
      <c r="E188" s="46">
        <v>1</v>
      </c>
      <c r="F188" s="46">
        <v>0</v>
      </c>
      <c r="G188" s="215">
        <v>0</v>
      </c>
      <c r="H188" s="215">
        <v>0</v>
      </c>
      <c r="I188" s="216">
        <v>0.184</v>
      </c>
      <c r="J188" s="211">
        <v>149</v>
      </c>
      <c r="K188" s="212">
        <v>0</v>
      </c>
      <c r="L188" s="212">
        <v>1</v>
      </c>
      <c r="M188" s="212">
        <v>0</v>
      </c>
      <c r="N188" s="212">
        <v>0</v>
      </c>
      <c r="O188" s="212">
        <v>127</v>
      </c>
      <c r="P188" s="212">
        <v>127</v>
      </c>
      <c r="Q188" s="212">
        <v>1</v>
      </c>
      <c r="R188" s="212">
        <v>0</v>
      </c>
      <c r="S188" s="212"/>
      <c r="T188" s="212"/>
      <c r="U188" s="213"/>
    </row>
    <row r="189" spans="2:21" s="214" customFormat="1" ht="13.5">
      <c r="B189" s="207"/>
      <c r="C189" s="217" t="s">
        <v>1347</v>
      </c>
      <c r="D189" s="15"/>
      <c r="E189" s="218">
        <v>54</v>
      </c>
      <c r="F189" s="218">
        <v>1</v>
      </c>
      <c r="G189" s="219">
        <v>0.001876172607879925</v>
      </c>
      <c r="H189" s="219">
        <v>0.018518518518518517</v>
      </c>
      <c r="I189" s="220">
        <v>0.184</v>
      </c>
      <c r="J189" s="211">
        <v>150</v>
      </c>
      <c r="K189" s="212">
        <v>1</v>
      </c>
      <c r="L189" s="212">
        <v>0</v>
      </c>
      <c r="M189" s="212">
        <v>16</v>
      </c>
      <c r="N189" s="212">
        <v>25</v>
      </c>
      <c r="O189" s="212">
        <v>0</v>
      </c>
      <c r="P189" s="212">
        <v>0</v>
      </c>
      <c r="Q189" s="212">
        <v>1</v>
      </c>
      <c r="R189" s="212">
        <v>1</v>
      </c>
      <c r="S189" s="212"/>
      <c r="T189" s="212"/>
      <c r="U189" s="213"/>
    </row>
    <row r="190" spans="2:18" ht="13.5">
      <c r="B190" s="52"/>
      <c r="C190" s="63"/>
      <c r="D190" s="10" t="s">
        <v>240</v>
      </c>
      <c r="E190" s="46">
        <v>5</v>
      </c>
      <c r="F190" s="46">
        <v>0</v>
      </c>
      <c r="G190" s="215">
        <v>0</v>
      </c>
      <c r="H190" s="215">
        <v>0</v>
      </c>
      <c r="I190" s="216">
        <v>0.201</v>
      </c>
      <c r="J190" s="211">
        <v>151</v>
      </c>
      <c r="K190" s="212">
        <v>0</v>
      </c>
      <c r="L190" s="212">
        <v>1</v>
      </c>
      <c r="M190" s="83">
        <v>0</v>
      </c>
      <c r="N190" s="212">
        <v>0</v>
      </c>
      <c r="O190" s="212">
        <v>90</v>
      </c>
      <c r="P190" s="83">
        <v>99</v>
      </c>
      <c r="Q190" s="212">
        <v>1</v>
      </c>
      <c r="R190" s="212">
        <v>0</v>
      </c>
    </row>
    <row r="191" spans="2:18" ht="13.5">
      <c r="B191" s="52"/>
      <c r="C191" s="63"/>
      <c r="D191" s="10" t="s">
        <v>127</v>
      </c>
      <c r="E191" s="46">
        <v>38</v>
      </c>
      <c r="F191" s="46">
        <v>1</v>
      </c>
      <c r="G191" s="215">
        <v>0.001876172607879925</v>
      </c>
      <c r="H191" s="215">
        <v>0.02631578947368421</v>
      </c>
      <c r="I191" s="216">
        <v>0.126</v>
      </c>
      <c r="J191" s="211">
        <v>152</v>
      </c>
      <c r="K191" s="212">
        <v>0</v>
      </c>
      <c r="L191" s="212">
        <v>1</v>
      </c>
      <c r="M191" s="83">
        <v>0</v>
      </c>
      <c r="N191" s="212">
        <v>0</v>
      </c>
      <c r="O191" s="212">
        <v>21</v>
      </c>
      <c r="P191" s="83">
        <v>73</v>
      </c>
      <c r="Q191" s="212">
        <v>1</v>
      </c>
      <c r="R191" s="212">
        <v>1</v>
      </c>
    </row>
    <row r="192" spans="2:18" ht="13.5">
      <c r="B192" s="52"/>
      <c r="C192" s="63"/>
      <c r="D192" s="10" t="s">
        <v>241</v>
      </c>
      <c r="E192" s="46">
        <v>2</v>
      </c>
      <c r="F192" s="46">
        <v>0</v>
      </c>
      <c r="G192" s="215">
        <v>0</v>
      </c>
      <c r="H192" s="215">
        <v>0</v>
      </c>
      <c r="I192" s="216">
        <v>0.311</v>
      </c>
      <c r="J192" s="211">
        <v>153</v>
      </c>
      <c r="K192" s="212">
        <v>0</v>
      </c>
      <c r="L192" s="212">
        <v>1</v>
      </c>
      <c r="M192" s="83">
        <v>0</v>
      </c>
      <c r="N192" s="212">
        <v>0</v>
      </c>
      <c r="O192" s="212">
        <v>119</v>
      </c>
      <c r="P192" s="83">
        <v>119</v>
      </c>
      <c r="Q192" s="212">
        <v>1</v>
      </c>
      <c r="R192" s="212">
        <v>0</v>
      </c>
    </row>
    <row r="193" spans="2:18" ht="13.5">
      <c r="B193" s="52"/>
      <c r="C193" s="63"/>
      <c r="D193" s="10" t="s">
        <v>242</v>
      </c>
      <c r="E193" s="46">
        <v>0</v>
      </c>
      <c r="F193" s="46">
        <v>0</v>
      </c>
      <c r="G193" s="215">
        <v>0</v>
      </c>
      <c r="H193" s="215">
        <v>0</v>
      </c>
      <c r="I193" s="216">
        <v>0.209</v>
      </c>
      <c r="J193" s="211">
        <v>154</v>
      </c>
      <c r="K193" s="212">
        <v>0</v>
      </c>
      <c r="L193" s="212">
        <v>1</v>
      </c>
      <c r="M193" s="83">
        <v>0</v>
      </c>
      <c r="N193" s="212">
        <v>0</v>
      </c>
      <c r="O193" s="212">
        <v>178</v>
      </c>
      <c r="P193" s="83">
        <v>178</v>
      </c>
      <c r="Q193" s="212">
        <v>0</v>
      </c>
      <c r="R193" s="212">
        <v>0</v>
      </c>
    </row>
    <row r="194" spans="2:18" ht="13.5">
      <c r="B194" s="52"/>
      <c r="C194" s="63"/>
      <c r="D194" s="10" t="s">
        <v>243</v>
      </c>
      <c r="E194" s="46">
        <v>2</v>
      </c>
      <c r="F194" s="46">
        <v>0</v>
      </c>
      <c r="G194" s="215">
        <v>0</v>
      </c>
      <c r="H194" s="215">
        <v>0</v>
      </c>
      <c r="I194" s="216">
        <v>0.141</v>
      </c>
      <c r="J194" s="211">
        <v>155</v>
      </c>
      <c r="K194" s="212">
        <v>0</v>
      </c>
      <c r="L194" s="212">
        <v>1</v>
      </c>
      <c r="M194" s="83">
        <v>0</v>
      </c>
      <c r="N194" s="212">
        <v>0</v>
      </c>
      <c r="O194" s="212">
        <v>120</v>
      </c>
      <c r="P194" s="83">
        <v>120</v>
      </c>
      <c r="Q194" s="212">
        <v>1</v>
      </c>
      <c r="R194" s="212">
        <v>0</v>
      </c>
    </row>
    <row r="195" spans="2:18" ht="13.5">
      <c r="B195" s="52"/>
      <c r="C195" s="63"/>
      <c r="D195" s="10" t="s">
        <v>1348</v>
      </c>
      <c r="E195" s="46">
        <v>1</v>
      </c>
      <c r="F195" s="46">
        <v>0</v>
      </c>
      <c r="G195" s="215">
        <v>0</v>
      </c>
      <c r="H195" s="215">
        <v>0</v>
      </c>
      <c r="I195" s="216">
        <v>0.216</v>
      </c>
      <c r="J195" s="211">
        <v>156</v>
      </c>
      <c r="K195" s="212">
        <v>0</v>
      </c>
      <c r="L195" s="212">
        <v>1</v>
      </c>
      <c r="M195" s="83">
        <v>0</v>
      </c>
      <c r="N195" s="212">
        <v>0</v>
      </c>
      <c r="O195" s="212">
        <v>128</v>
      </c>
      <c r="P195" s="83">
        <v>128</v>
      </c>
      <c r="Q195" s="212">
        <v>1</v>
      </c>
      <c r="R195" s="212">
        <v>0</v>
      </c>
    </row>
    <row r="196" spans="2:18" ht="13.5">
      <c r="B196" s="52"/>
      <c r="C196" s="63"/>
      <c r="D196" s="10" t="s">
        <v>244</v>
      </c>
      <c r="E196" s="46">
        <v>5</v>
      </c>
      <c r="F196" s="46">
        <v>0</v>
      </c>
      <c r="G196" s="215">
        <v>0</v>
      </c>
      <c r="H196" s="215">
        <v>0</v>
      </c>
      <c r="I196" s="216">
        <v>0.193</v>
      </c>
      <c r="J196" s="211">
        <v>157</v>
      </c>
      <c r="K196" s="212">
        <v>0</v>
      </c>
      <c r="L196" s="212">
        <v>1</v>
      </c>
      <c r="M196" s="83">
        <v>0</v>
      </c>
      <c r="N196" s="212">
        <v>0</v>
      </c>
      <c r="O196" s="212">
        <v>91</v>
      </c>
      <c r="P196" s="83">
        <v>100</v>
      </c>
      <c r="Q196" s="212">
        <v>1</v>
      </c>
      <c r="R196" s="212">
        <v>0</v>
      </c>
    </row>
    <row r="197" spans="2:18" ht="13.5">
      <c r="B197" s="52"/>
      <c r="C197" s="63"/>
      <c r="D197" s="10" t="s">
        <v>1349</v>
      </c>
      <c r="E197" s="46">
        <v>1</v>
      </c>
      <c r="F197" s="46">
        <v>0</v>
      </c>
      <c r="G197" s="215">
        <v>0</v>
      </c>
      <c r="H197" s="215">
        <v>0</v>
      </c>
      <c r="I197" s="216">
        <v>0.166</v>
      </c>
      <c r="J197" s="211">
        <v>158</v>
      </c>
      <c r="K197" s="212">
        <v>0</v>
      </c>
      <c r="L197" s="212">
        <v>1</v>
      </c>
      <c r="M197" s="221">
        <v>0</v>
      </c>
      <c r="N197" s="212">
        <v>0</v>
      </c>
      <c r="O197" s="212">
        <v>129</v>
      </c>
      <c r="P197" s="83">
        <v>129</v>
      </c>
      <c r="Q197" s="212">
        <v>1</v>
      </c>
      <c r="R197" s="212">
        <v>0</v>
      </c>
    </row>
    <row r="198" spans="2:21" s="214" customFormat="1" ht="13.5">
      <c r="B198" s="207"/>
      <c r="C198" s="63"/>
      <c r="D198" s="10" t="s">
        <v>245</v>
      </c>
      <c r="E198" s="46">
        <v>0</v>
      </c>
      <c r="F198" s="46">
        <v>0</v>
      </c>
      <c r="G198" s="215">
        <v>0</v>
      </c>
      <c r="H198" s="215">
        <v>0</v>
      </c>
      <c r="I198" s="216">
        <v>0.228</v>
      </c>
      <c r="J198" s="211">
        <v>159</v>
      </c>
      <c r="K198" s="212">
        <v>0</v>
      </c>
      <c r="L198" s="212">
        <v>1</v>
      </c>
      <c r="M198" s="212">
        <v>0</v>
      </c>
      <c r="N198" s="212">
        <v>0</v>
      </c>
      <c r="O198" s="212">
        <v>179</v>
      </c>
      <c r="P198" s="212">
        <v>179</v>
      </c>
      <c r="Q198" s="212">
        <v>0</v>
      </c>
      <c r="R198" s="212">
        <v>0</v>
      </c>
      <c r="S198" s="212"/>
      <c r="T198" s="212"/>
      <c r="U198" s="213"/>
    </row>
    <row r="199" spans="2:21" s="214" customFormat="1" ht="13.5">
      <c r="B199" s="207"/>
      <c r="C199" s="217" t="s">
        <v>25</v>
      </c>
      <c r="D199" s="15"/>
      <c r="E199" s="218">
        <v>28</v>
      </c>
      <c r="F199" s="218">
        <v>5</v>
      </c>
      <c r="G199" s="219">
        <v>0.009380863039399626</v>
      </c>
      <c r="H199" s="219">
        <v>0.17857142857142858</v>
      </c>
      <c r="I199" s="220">
        <v>0.183</v>
      </c>
      <c r="J199" s="211">
        <v>160</v>
      </c>
      <c r="K199" s="212">
        <v>1</v>
      </c>
      <c r="L199" s="212">
        <v>0</v>
      </c>
      <c r="M199" s="212">
        <v>19</v>
      </c>
      <c r="N199" s="212">
        <v>15</v>
      </c>
      <c r="O199" s="212">
        <v>0</v>
      </c>
      <c r="P199" s="212">
        <v>0</v>
      </c>
      <c r="Q199" s="212">
        <v>1</v>
      </c>
      <c r="R199" s="212">
        <v>1</v>
      </c>
      <c r="S199" s="212"/>
      <c r="T199" s="212"/>
      <c r="U199" s="213"/>
    </row>
    <row r="200" spans="2:18" ht="13.5">
      <c r="B200" s="52"/>
      <c r="C200" s="63"/>
      <c r="D200" s="10" t="s">
        <v>128</v>
      </c>
      <c r="E200" s="46">
        <v>13</v>
      </c>
      <c r="F200" s="46">
        <v>3</v>
      </c>
      <c r="G200" s="215">
        <v>0.005628517823639775</v>
      </c>
      <c r="H200" s="215">
        <v>0.23076923076923078</v>
      </c>
      <c r="I200" s="216">
        <v>0.179</v>
      </c>
      <c r="J200" s="211">
        <v>161</v>
      </c>
      <c r="K200" s="212">
        <v>0</v>
      </c>
      <c r="L200" s="212">
        <v>1</v>
      </c>
      <c r="M200" s="83">
        <v>0</v>
      </c>
      <c r="N200" s="212">
        <v>0</v>
      </c>
      <c r="O200" s="212">
        <v>60</v>
      </c>
      <c r="P200" s="83">
        <v>50</v>
      </c>
      <c r="Q200" s="212">
        <v>1</v>
      </c>
      <c r="R200" s="212">
        <v>1</v>
      </c>
    </row>
    <row r="201" spans="2:18" ht="13.5">
      <c r="B201" s="52"/>
      <c r="C201" s="63"/>
      <c r="D201" s="10" t="s">
        <v>246</v>
      </c>
      <c r="E201" s="46">
        <v>0</v>
      </c>
      <c r="F201" s="46">
        <v>0</v>
      </c>
      <c r="G201" s="215">
        <v>0</v>
      </c>
      <c r="H201" s="215">
        <v>0</v>
      </c>
      <c r="I201" s="216">
        <v>0.164</v>
      </c>
      <c r="J201" s="211">
        <v>162</v>
      </c>
      <c r="K201" s="212">
        <v>0</v>
      </c>
      <c r="L201" s="212">
        <v>1</v>
      </c>
      <c r="M201" s="83">
        <v>0</v>
      </c>
      <c r="N201" s="212">
        <v>0</v>
      </c>
      <c r="O201" s="212">
        <v>180</v>
      </c>
      <c r="P201" s="83">
        <v>180</v>
      </c>
      <c r="Q201" s="212">
        <v>0</v>
      </c>
      <c r="R201" s="212">
        <v>0</v>
      </c>
    </row>
    <row r="202" spans="2:18" ht="13.5">
      <c r="B202" s="52"/>
      <c r="C202" s="63"/>
      <c r="D202" s="10" t="s">
        <v>129</v>
      </c>
      <c r="E202" s="46">
        <v>3</v>
      </c>
      <c r="F202" s="46">
        <v>1</v>
      </c>
      <c r="G202" s="215">
        <v>0.001876172607879925</v>
      </c>
      <c r="H202" s="215">
        <v>0.3333333333333333</v>
      </c>
      <c r="I202" s="216">
        <v>0.181</v>
      </c>
      <c r="J202" s="211">
        <v>163</v>
      </c>
      <c r="K202" s="212">
        <v>0</v>
      </c>
      <c r="L202" s="212">
        <v>1</v>
      </c>
      <c r="M202" s="83">
        <v>0</v>
      </c>
      <c r="N202" s="212">
        <v>0</v>
      </c>
      <c r="O202" s="212">
        <v>112</v>
      </c>
      <c r="P202" s="83">
        <v>87</v>
      </c>
      <c r="Q202" s="212">
        <v>1</v>
      </c>
      <c r="R202" s="212">
        <v>1</v>
      </c>
    </row>
    <row r="203" spans="2:18" ht="13.5">
      <c r="B203" s="52"/>
      <c r="C203" s="63"/>
      <c r="D203" s="10" t="s">
        <v>130</v>
      </c>
      <c r="E203" s="46">
        <v>4</v>
      </c>
      <c r="F203" s="46">
        <v>0</v>
      </c>
      <c r="G203" s="215">
        <v>0</v>
      </c>
      <c r="H203" s="215">
        <v>0</v>
      </c>
      <c r="I203" s="216">
        <v>0.22</v>
      </c>
      <c r="J203" s="211">
        <v>164</v>
      </c>
      <c r="K203" s="212">
        <v>0</v>
      </c>
      <c r="L203" s="212">
        <v>1</v>
      </c>
      <c r="M203" s="83">
        <v>0</v>
      </c>
      <c r="N203" s="212">
        <v>0</v>
      </c>
      <c r="O203" s="212">
        <v>100</v>
      </c>
      <c r="P203" s="83">
        <v>107</v>
      </c>
      <c r="Q203" s="212">
        <v>1</v>
      </c>
      <c r="R203" s="212">
        <v>0</v>
      </c>
    </row>
    <row r="204" spans="2:18" ht="13.5">
      <c r="B204" s="52"/>
      <c r="C204" s="63"/>
      <c r="D204" s="10" t="s">
        <v>247</v>
      </c>
      <c r="E204" s="46">
        <v>6</v>
      </c>
      <c r="F204" s="46">
        <v>1</v>
      </c>
      <c r="G204" s="215">
        <v>0.001876172607879925</v>
      </c>
      <c r="H204" s="215">
        <v>0.16666666666666666</v>
      </c>
      <c r="I204" s="216">
        <v>0.177</v>
      </c>
      <c r="J204" s="211">
        <v>165</v>
      </c>
      <c r="K204" s="212">
        <v>0</v>
      </c>
      <c r="L204" s="212">
        <v>1</v>
      </c>
      <c r="M204" s="83">
        <v>0</v>
      </c>
      <c r="N204" s="212">
        <v>0</v>
      </c>
      <c r="O204" s="212">
        <v>86</v>
      </c>
      <c r="P204" s="83">
        <v>80</v>
      </c>
      <c r="Q204" s="212">
        <v>1</v>
      </c>
      <c r="R204" s="212">
        <v>1</v>
      </c>
    </row>
    <row r="205" spans="2:18" ht="13.5">
      <c r="B205" s="52"/>
      <c r="C205" s="63"/>
      <c r="D205" s="10" t="s">
        <v>248</v>
      </c>
      <c r="E205" s="46">
        <v>1</v>
      </c>
      <c r="F205" s="46">
        <v>0</v>
      </c>
      <c r="G205" s="215">
        <v>0</v>
      </c>
      <c r="H205" s="215">
        <v>0</v>
      </c>
      <c r="I205" s="216">
        <v>0.229</v>
      </c>
      <c r="J205" s="211">
        <v>166</v>
      </c>
      <c r="K205" s="212">
        <v>0</v>
      </c>
      <c r="L205" s="212">
        <v>1</v>
      </c>
      <c r="M205" s="83">
        <v>0</v>
      </c>
      <c r="N205" s="212">
        <v>0</v>
      </c>
      <c r="O205" s="212">
        <v>130</v>
      </c>
      <c r="P205" s="83">
        <v>130</v>
      </c>
      <c r="Q205" s="212">
        <v>1</v>
      </c>
      <c r="R205" s="212">
        <v>0</v>
      </c>
    </row>
    <row r="206" spans="2:18" ht="13.5">
      <c r="B206" s="52"/>
      <c r="C206" s="63"/>
      <c r="D206" s="10" t="s">
        <v>1350</v>
      </c>
      <c r="E206" s="46">
        <v>0</v>
      </c>
      <c r="F206" s="46">
        <v>0</v>
      </c>
      <c r="G206" s="215">
        <v>0</v>
      </c>
      <c r="H206" s="215">
        <v>0</v>
      </c>
      <c r="I206" s="216">
        <v>0.467</v>
      </c>
      <c r="J206" s="211">
        <v>167</v>
      </c>
      <c r="K206" s="212">
        <v>0</v>
      </c>
      <c r="L206" s="212">
        <v>1</v>
      </c>
      <c r="M206" s="221">
        <v>0</v>
      </c>
      <c r="N206" s="212">
        <v>0</v>
      </c>
      <c r="O206" s="212">
        <v>181</v>
      </c>
      <c r="P206" s="83">
        <v>181</v>
      </c>
      <c r="Q206" s="212">
        <v>0</v>
      </c>
      <c r="R206" s="212">
        <v>0</v>
      </c>
    </row>
    <row r="207" spans="2:21" s="214" customFormat="1" ht="13.5">
      <c r="B207" s="207"/>
      <c r="C207" s="63"/>
      <c r="D207" s="10" t="s">
        <v>249</v>
      </c>
      <c r="E207" s="46">
        <v>0</v>
      </c>
      <c r="F207" s="46">
        <v>0</v>
      </c>
      <c r="G207" s="215">
        <v>0</v>
      </c>
      <c r="H207" s="215">
        <v>0</v>
      </c>
      <c r="I207" s="216">
        <v>0.205</v>
      </c>
      <c r="J207" s="211">
        <v>168</v>
      </c>
      <c r="K207" s="212">
        <v>0</v>
      </c>
      <c r="L207" s="212">
        <v>1</v>
      </c>
      <c r="M207" s="212">
        <v>0</v>
      </c>
      <c r="N207" s="212">
        <v>0</v>
      </c>
      <c r="O207" s="212">
        <v>182</v>
      </c>
      <c r="P207" s="212">
        <v>182</v>
      </c>
      <c r="Q207" s="212">
        <v>0</v>
      </c>
      <c r="R207" s="212">
        <v>0</v>
      </c>
      <c r="S207" s="212"/>
      <c r="T207" s="212"/>
      <c r="U207" s="213"/>
    </row>
    <row r="208" spans="2:18" ht="13.5">
      <c r="B208" s="52"/>
      <c r="C208" s="63"/>
      <c r="D208" s="10" t="s">
        <v>250</v>
      </c>
      <c r="E208" s="46">
        <v>1</v>
      </c>
      <c r="F208" s="46">
        <v>0</v>
      </c>
      <c r="G208" s="215">
        <v>0</v>
      </c>
      <c r="H208" s="215">
        <v>0</v>
      </c>
      <c r="I208" s="216">
        <v>0.182</v>
      </c>
      <c r="J208" s="211">
        <v>169</v>
      </c>
      <c r="K208" s="212">
        <v>0</v>
      </c>
      <c r="L208" s="212">
        <v>1</v>
      </c>
      <c r="M208" s="83">
        <v>0</v>
      </c>
      <c r="N208" s="212">
        <v>0</v>
      </c>
      <c r="O208" s="212">
        <v>131</v>
      </c>
      <c r="P208" s="83">
        <v>131</v>
      </c>
      <c r="Q208" s="212">
        <v>1</v>
      </c>
      <c r="R208" s="212">
        <v>0</v>
      </c>
    </row>
    <row r="209" spans="2:21" s="214" customFormat="1" ht="13.5">
      <c r="B209" s="207"/>
      <c r="C209" s="217" t="s">
        <v>26</v>
      </c>
      <c r="D209" s="15"/>
      <c r="E209" s="218">
        <v>149</v>
      </c>
      <c r="F209" s="218">
        <v>25</v>
      </c>
      <c r="G209" s="219">
        <v>0.04690431519699812</v>
      </c>
      <c r="H209" s="219">
        <v>0.16778523489932887</v>
      </c>
      <c r="I209" s="220">
        <v>0.189</v>
      </c>
      <c r="J209" s="211">
        <v>170</v>
      </c>
      <c r="K209" s="212">
        <v>1</v>
      </c>
      <c r="L209" s="212">
        <v>0</v>
      </c>
      <c r="M209" s="212">
        <v>9</v>
      </c>
      <c r="N209" s="212">
        <v>8</v>
      </c>
      <c r="O209" s="212">
        <v>0</v>
      </c>
      <c r="P209" s="212">
        <v>0</v>
      </c>
      <c r="Q209" s="212">
        <v>1</v>
      </c>
      <c r="R209" s="212">
        <v>1</v>
      </c>
      <c r="S209" s="212"/>
      <c r="T209" s="212"/>
      <c r="U209" s="213"/>
    </row>
    <row r="210" spans="2:18" ht="13.5">
      <c r="B210" s="52"/>
      <c r="C210" s="63"/>
      <c r="D210" s="10" t="s">
        <v>131</v>
      </c>
      <c r="E210" s="46">
        <v>12</v>
      </c>
      <c r="F210" s="46">
        <v>0</v>
      </c>
      <c r="G210" s="215">
        <v>0</v>
      </c>
      <c r="H210" s="215">
        <v>0</v>
      </c>
      <c r="I210" s="216">
        <v>0.184</v>
      </c>
      <c r="J210" s="211">
        <v>171</v>
      </c>
      <c r="K210" s="212">
        <v>0</v>
      </c>
      <c r="L210" s="212">
        <v>1</v>
      </c>
      <c r="M210" s="83">
        <v>0</v>
      </c>
      <c r="N210" s="212">
        <v>0</v>
      </c>
      <c r="O210" s="212">
        <v>66</v>
      </c>
      <c r="P210" s="212">
        <v>91</v>
      </c>
      <c r="Q210" s="212">
        <v>1</v>
      </c>
      <c r="R210" s="212">
        <v>0</v>
      </c>
    </row>
    <row r="211" spans="2:18" ht="13.5">
      <c r="B211" s="52"/>
      <c r="C211" s="63"/>
      <c r="D211" s="10" t="s">
        <v>132</v>
      </c>
      <c r="E211" s="46">
        <v>62</v>
      </c>
      <c r="F211" s="46">
        <v>6</v>
      </c>
      <c r="G211" s="215">
        <v>0.01125703564727955</v>
      </c>
      <c r="H211" s="215">
        <v>0.0967741935483871</v>
      </c>
      <c r="I211" s="216">
        <v>0.19</v>
      </c>
      <c r="J211" s="211">
        <v>172</v>
      </c>
      <c r="K211" s="212">
        <v>0</v>
      </c>
      <c r="L211" s="212">
        <v>1</v>
      </c>
      <c r="M211" s="83">
        <v>0</v>
      </c>
      <c r="N211" s="212">
        <v>0</v>
      </c>
      <c r="O211" s="212">
        <v>11</v>
      </c>
      <c r="P211" s="83">
        <v>28</v>
      </c>
      <c r="Q211" s="212">
        <v>1</v>
      </c>
      <c r="R211" s="212">
        <v>1</v>
      </c>
    </row>
    <row r="212" spans="2:18" ht="13.5">
      <c r="B212" s="52"/>
      <c r="C212" s="63"/>
      <c r="D212" s="10" t="s">
        <v>133</v>
      </c>
      <c r="E212" s="46">
        <v>23</v>
      </c>
      <c r="F212" s="46">
        <v>5</v>
      </c>
      <c r="G212" s="215">
        <v>0.009380863039399626</v>
      </c>
      <c r="H212" s="215">
        <v>0.21739130434782608</v>
      </c>
      <c r="I212" s="216">
        <v>0.21</v>
      </c>
      <c r="J212" s="211">
        <v>173</v>
      </c>
      <c r="K212" s="212">
        <v>0</v>
      </c>
      <c r="L212" s="212">
        <v>1</v>
      </c>
      <c r="M212" s="83">
        <v>0</v>
      </c>
      <c r="N212" s="212">
        <v>0</v>
      </c>
      <c r="O212" s="212">
        <v>41</v>
      </c>
      <c r="P212" s="83">
        <v>36</v>
      </c>
      <c r="Q212" s="212">
        <v>1</v>
      </c>
      <c r="R212" s="212">
        <v>1</v>
      </c>
    </row>
    <row r="213" spans="2:18" ht="13.5">
      <c r="B213" s="52"/>
      <c r="C213" s="63"/>
      <c r="D213" s="10" t="s">
        <v>134</v>
      </c>
      <c r="E213" s="46">
        <v>8</v>
      </c>
      <c r="F213" s="46">
        <v>5</v>
      </c>
      <c r="G213" s="215">
        <v>0.009380863039399626</v>
      </c>
      <c r="H213" s="215">
        <v>0.625</v>
      </c>
      <c r="I213" s="216">
        <v>0.156</v>
      </c>
      <c r="J213" s="211">
        <v>174</v>
      </c>
      <c r="K213" s="212">
        <v>0</v>
      </c>
      <c r="L213" s="212">
        <v>1</v>
      </c>
      <c r="M213" s="83">
        <v>0</v>
      </c>
      <c r="N213" s="212">
        <v>0</v>
      </c>
      <c r="O213" s="212">
        <v>80</v>
      </c>
      <c r="P213" s="83">
        <v>38</v>
      </c>
      <c r="Q213" s="212">
        <v>1</v>
      </c>
      <c r="R213" s="212">
        <v>1</v>
      </c>
    </row>
    <row r="214" spans="2:18" ht="13.5">
      <c r="B214" s="52"/>
      <c r="C214" s="63"/>
      <c r="D214" s="10" t="s">
        <v>251</v>
      </c>
      <c r="E214" s="46">
        <v>15</v>
      </c>
      <c r="F214" s="46">
        <v>3</v>
      </c>
      <c r="G214" s="215">
        <v>0.005628517823639775</v>
      </c>
      <c r="H214" s="215">
        <v>0.2</v>
      </c>
      <c r="I214" s="216">
        <v>0.17</v>
      </c>
      <c r="J214" s="211">
        <v>175</v>
      </c>
      <c r="K214" s="212">
        <v>0</v>
      </c>
      <c r="L214" s="212">
        <v>1</v>
      </c>
      <c r="M214" s="83">
        <v>0</v>
      </c>
      <c r="N214" s="212">
        <v>0</v>
      </c>
      <c r="O214" s="212">
        <v>54</v>
      </c>
      <c r="P214" s="83">
        <v>48</v>
      </c>
      <c r="Q214" s="212">
        <v>1</v>
      </c>
      <c r="R214" s="212">
        <v>1</v>
      </c>
    </row>
    <row r="215" spans="2:18" ht="13.5">
      <c r="B215" s="52"/>
      <c r="C215" s="63"/>
      <c r="D215" s="10" t="s">
        <v>252</v>
      </c>
      <c r="E215" s="46">
        <v>12</v>
      </c>
      <c r="F215" s="46">
        <v>3</v>
      </c>
      <c r="G215" s="215">
        <v>0.005628517823639775</v>
      </c>
      <c r="H215" s="215">
        <v>0.25</v>
      </c>
      <c r="I215" s="216">
        <v>0.204</v>
      </c>
      <c r="J215" s="211">
        <v>176</v>
      </c>
      <c r="K215" s="212">
        <v>0</v>
      </c>
      <c r="L215" s="212">
        <v>1</v>
      </c>
      <c r="M215" s="83">
        <v>0</v>
      </c>
      <c r="N215" s="212">
        <v>0</v>
      </c>
      <c r="O215" s="212">
        <v>67</v>
      </c>
      <c r="P215" s="83">
        <v>52</v>
      </c>
      <c r="Q215" s="212">
        <v>1</v>
      </c>
      <c r="R215" s="212">
        <v>1</v>
      </c>
    </row>
    <row r="216" spans="2:18" ht="13.5">
      <c r="B216" s="52"/>
      <c r="C216" s="63"/>
      <c r="D216" s="10" t="s">
        <v>253</v>
      </c>
      <c r="E216" s="46">
        <v>5</v>
      </c>
      <c r="F216" s="46">
        <v>0</v>
      </c>
      <c r="G216" s="215">
        <v>0</v>
      </c>
      <c r="H216" s="215">
        <v>0</v>
      </c>
      <c r="I216" s="216">
        <v>0.251</v>
      </c>
      <c r="J216" s="211">
        <v>177</v>
      </c>
      <c r="K216" s="212">
        <v>0</v>
      </c>
      <c r="L216" s="212">
        <v>1</v>
      </c>
      <c r="M216" s="83">
        <v>0</v>
      </c>
      <c r="N216" s="212">
        <v>0</v>
      </c>
      <c r="O216" s="212">
        <v>92</v>
      </c>
      <c r="P216" s="83">
        <v>101</v>
      </c>
      <c r="Q216" s="212">
        <v>1</v>
      </c>
      <c r="R216" s="212">
        <v>0</v>
      </c>
    </row>
    <row r="217" spans="2:18" ht="13.5">
      <c r="B217" s="52"/>
      <c r="C217" s="63"/>
      <c r="D217" s="10" t="s">
        <v>254</v>
      </c>
      <c r="E217" s="46">
        <v>3</v>
      </c>
      <c r="F217" s="46">
        <v>0</v>
      </c>
      <c r="G217" s="215">
        <v>0</v>
      </c>
      <c r="H217" s="215">
        <v>0</v>
      </c>
      <c r="I217" s="216">
        <v>0.224</v>
      </c>
      <c r="J217" s="211">
        <v>178</v>
      </c>
      <c r="K217" s="212">
        <v>0</v>
      </c>
      <c r="L217" s="212">
        <v>1</v>
      </c>
      <c r="M217" s="83">
        <v>0</v>
      </c>
      <c r="N217" s="212">
        <v>0</v>
      </c>
      <c r="O217" s="212">
        <v>113</v>
      </c>
      <c r="P217" s="83">
        <v>115</v>
      </c>
      <c r="Q217" s="212">
        <v>1</v>
      </c>
      <c r="R217" s="212">
        <v>0</v>
      </c>
    </row>
    <row r="218" spans="2:18" ht="13.5">
      <c r="B218" s="52"/>
      <c r="C218" s="63"/>
      <c r="D218" s="10" t="s">
        <v>255</v>
      </c>
      <c r="E218" s="46">
        <v>4</v>
      </c>
      <c r="F218" s="46">
        <v>3</v>
      </c>
      <c r="G218" s="215">
        <v>0.005628517823639775</v>
      </c>
      <c r="H218" s="215">
        <v>0.75</v>
      </c>
      <c r="I218" s="216">
        <v>0.302</v>
      </c>
      <c r="J218" s="211">
        <v>179</v>
      </c>
      <c r="K218" s="212">
        <v>0</v>
      </c>
      <c r="L218" s="212">
        <v>1</v>
      </c>
      <c r="M218" s="83">
        <v>0</v>
      </c>
      <c r="N218" s="212">
        <v>0</v>
      </c>
      <c r="O218" s="212">
        <v>101</v>
      </c>
      <c r="P218" s="83">
        <v>54</v>
      </c>
      <c r="Q218" s="212">
        <v>1</v>
      </c>
      <c r="R218" s="212">
        <v>1</v>
      </c>
    </row>
    <row r="219" spans="2:21" s="214" customFormat="1" ht="13.5">
      <c r="B219" s="207"/>
      <c r="C219" s="63"/>
      <c r="D219" s="10" t="s">
        <v>256</v>
      </c>
      <c r="E219" s="46">
        <v>5</v>
      </c>
      <c r="F219" s="46">
        <v>0</v>
      </c>
      <c r="G219" s="215">
        <v>0</v>
      </c>
      <c r="H219" s="215">
        <v>0</v>
      </c>
      <c r="I219" s="216">
        <v>0.192</v>
      </c>
      <c r="J219" s="211">
        <v>180</v>
      </c>
      <c r="K219" s="212">
        <v>0</v>
      </c>
      <c r="L219" s="212">
        <v>1</v>
      </c>
      <c r="M219" s="212">
        <v>0</v>
      </c>
      <c r="N219" s="212">
        <v>0</v>
      </c>
      <c r="O219" s="212">
        <v>93</v>
      </c>
      <c r="P219" s="212">
        <v>102</v>
      </c>
      <c r="Q219" s="212">
        <v>1</v>
      </c>
      <c r="R219" s="212">
        <v>0</v>
      </c>
      <c r="S219" s="212"/>
      <c r="T219" s="212"/>
      <c r="U219" s="213"/>
    </row>
    <row r="220" spans="2:21" s="214" customFormat="1" ht="13.5">
      <c r="B220" s="207"/>
      <c r="C220" s="217" t="s">
        <v>27</v>
      </c>
      <c r="D220" s="15"/>
      <c r="E220" s="218">
        <v>182</v>
      </c>
      <c r="F220" s="218">
        <v>15</v>
      </c>
      <c r="G220" s="219">
        <v>0.028142589118198873</v>
      </c>
      <c r="H220" s="219">
        <v>0.08241758241758242</v>
      </c>
      <c r="I220" s="220">
        <v>0.196</v>
      </c>
      <c r="J220" s="211">
        <v>181</v>
      </c>
      <c r="K220" s="212">
        <v>1</v>
      </c>
      <c r="L220" s="212">
        <v>0</v>
      </c>
      <c r="M220" s="212">
        <v>5</v>
      </c>
      <c r="N220" s="212">
        <v>12</v>
      </c>
      <c r="O220" s="212">
        <v>0</v>
      </c>
      <c r="P220" s="212">
        <v>0</v>
      </c>
      <c r="Q220" s="212">
        <v>1</v>
      </c>
      <c r="R220" s="212">
        <v>1</v>
      </c>
      <c r="S220" s="212"/>
      <c r="T220" s="212"/>
      <c r="U220" s="213"/>
    </row>
    <row r="221" spans="2:18" ht="13.5">
      <c r="B221" s="52"/>
      <c r="C221" s="63"/>
      <c r="D221" s="10" t="s">
        <v>135</v>
      </c>
      <c r="E221" s="46">
        <v>98</v>
      </c>
      <c r="F221" s="46">
        <v>3</v>
      </c>
      <c r="G221" s="215">
        <v>0.005628517823639775</v>
      </c>
      <c r="H221" s="215">
        <v>0.030612244897959183</v>
      </c>
      <c r="I221" s="216">
        <v>0.152</v>
      </c>
      <c r="J221" s="211">
        <v>182</v>
      </c>
      <c r="K221" s="212">
        <v>0</v>
      </c>
      <c r="L221" s="212">
        <v>1</v>
      </c>
      <c r="M221" s="83">
        <v>0</v>
      </c>
      <c r="N221" s="212">
        <v>0</v>
      </c>
      <c r="O221" s="212">
        <v>4</v>
      </c>
      <c r="P221" s="83">
        <v>43</v>
      </c>
      <c r="Q221" s="212">
        <v>1</v>
      </c>
      <c r="R221" s="212">
        <v>1</v>
      </c>
    </row>
    <row r="222" spans="2:18" ht="13.5">
      <c r="B222" s="52"/>
      <c r="C222" s="63"/>
      <c r="D222" s="10" t="s">
        <v>257</v>
      </c>
      <c r="E222" s="46">
        <v>0</v>
      </c>
      <c r="F222" s="46">
        <v>0</v>
      </c>
      <c r="G222" s="215">
        <v>0</v>
      </c>
      <c r="H222" s="215">
        <v>0</v>
      </c>
      <c r="I222" s="216">
        <v>0.986</v>
      </c>
      <c r="J222" s="211">
        <v>183</v>
      </c>
      <c r="K222" s="212">
        <v>0</v>
      </c>
      <c r="L222" s="212">
        <v>1</v>
      </c>
      <c r="M222" s="83">
        <v>0</v>
      </c>
      <c r="N222" s="212">
        <v>0</v>
      </c>
      <c r="O222" s="212">
        <v>183</v>
      </c>
      <c r="P222" s="83">
        <v>183</v>
      </c>
      <c r="Q222" s="212">
        <v>0</v>
      </c>
      <c r="R222" s="212">
        <v>0</v>
      </c>
    </row>
    <row r="223" spans="2:18" ht="13.5">
      <c r="B223" s="52"/>
      <c r="C223" s="63"/>
      <c r="D223" s="10" t="s">
        <v>136</v>
      </c>
      <c r="E223" s="46">
        <v>65</v>
      </c>
      <c r="F223" s="46">
        <v>10</v>
      </c>
      <c r="G223" s="215">
        <v>0.01876172607879925</v>
      </c>
      <c r="H223" s="215">
        <v>0.15384615384615385</v>
      </c>
      <c r="I223" s="216">
        <v>0.255</v>
      </c>
      <c r="J223" s="211">
        <v>184</v>
      </c>
      <c r="K223" s="212">
        <v>0</v>
      </c>
      <c r="L223" s="212">
        <v>1</v>
      </c>
      <c r="M223" s="83">
        <v>0</v>
      </c>
      <c r="N223" s="212">
        <v>0</v>
      </c>
      <c r="O223" s="212">
        <v>9</v>
      </c>
      <c r="P223" s="83">
        <v>14</v>
      </c>
      <c r="Q223" s="212">
        <v>1</v>
      </c>
      <c r="R223" s="212">
        <v>1</v>
      </c>
    </row>
    <row r="224" spans="2:18" ht="13.5">
      <c r="B224" s="52"/>
      <c r="C224" s="63"/>
      <c r="D224" s="10" t="s">
        <v>258</v>
      </c>
      <c r="E224" s="46">
        <v>18</v>
      </c>
      <c r="F224" s="46">
        <v>2</v>
      </c>
      <c r="G224" s="215">
        <v>0.00375234521575985</v>
      </c>
      <c r="H224" s="215">
        <v>0.1111111111111111</v>
      </c>
      <c r="I224" s="216">
        <v>0.41</v>
      </c>
      <c r="J224" s="211">
        <v>185</v>
      </c>
      <c r="K224" s="212">
        <v>0</v>
      </c>
      <c r="L224" s="212">
        <v>1</v>
      </c>
      <c r="M224" s="212">
        <v>0</v>
      </c>
      <c r="N224" s="212">
        <v>0</v>
      </c>
      <c r="O224" s="212">
        <v>50</v>
      </c>
      <c r="P224" s="83">
        <v>58</v>
      </c>
      <c r="Q224" s="212">
        <v>1</v>
      </c>
      <c r="R224" s="212">
        <v>1</v>
      </c>
    </row>
    <row r="225" spans="2:21" s="214" customFormat="1" ht="13.5">
      <c r="B225" s="207"/>
      <c r="C225" s="63"/>
      <c r="D225" s="10" t="s">
        <v>259</v>
      </c>
      <c r="E225" s="46">
        <v>1</v>
      </c>
      <c r="F225" s="46">
        <v>0</v>
      </c>
      <c r="G225" s="215">
        <v>0</v>
      </c>
      <c r="H225" s="215">
        <v>0</v>
      </c>
      <c r="I225" s="216">
        <v>0.249</v>
      </c>
      <c r="J225" s="211">
        <v>186</v>
      </c>
      <c r="K225" s="212">
        <v>0</v>
      </c>
      <c r="L225" s="212">
        <v>1</v>
      </c>
      <c r="M225" s="212">
        <v>0</v>
      </c>
      <c r="N225" s="212">
        <v>0</v>
      </c>
      <c r="O225" s="212">
        <v>132</v>
      </c>
      <c r="P225" s="212">
        <v>132</v>
      </c>
      <c r="Q225" s="212">
        <v>1</v>
      </c>
      <c r="R225" s="212">
        <v>0</v>
      </c>
      <c r="S225" s="212"/>
      <c r="T225" s="212"/>
      <c r="U225" s="213"/>
    </row>
    <row r="226" spans="2:21" s="214" customFormat="1" ht="13.5">
      <c r="B226" s="207"/>
      <c r="C226" s="217" t="s">
        <v>28</v>
      </c>
      <c r="D226" s="15"/>
      <c r="E226" s="218">
        <v>90</v>
      </c>
      <c r="F226" s="218">
        <v>8</v>
      </c>
      <c r="G226" s="219">
        <v>0.0150093808630394</v>
      </c>
      <c r="H226" s="219">
        <v>0.08888888888888889</v>
      </c>
      <c r="I226" s="220">
        <v>0.189</v>
      </c>
      <c r="J226" s="211">
        <v>187</v>
      </c>
      <c r="K226" s="212">
        <v>1</v>
      </c>
      <c r="L226" s="212">
        <v>0</v>
      </c>
      <c r="M226" s="212">
        <v>13</v>
      </c>
      <c r="N226" s="212">
        <v>13</v>
      </c>
      <c r="O226" s="212">
        <v>0</v>
      </c>
      <c r="P226" s="212">
        <v>0</v>
      </c>
      <c r="Q226" s="212">
        <v>1</v>
      </c>
      <c r="R226" s="212">
        <v>1</v>
      </c>
      <c r="S226" s="212"/>
      <c r="T226" s="212"/>
      <c r="U226" s="213"/>
    </row>
    <row r="227" spans="2:18" ht="13.5">
      <c r="B227" s="52"/>
      <c r="C227" s="63"/>
      <c r="D227" s="10" t="s">
        <v>138</v>
      </c>
      <c r="E227" s="46">
        <v>39</v>
      </c>
      <c r="F227" s="46">
        <v>5</v>
      </c>
      <c r="G227" s="215">
        <v>0.009380863039399626</v>
      </c>
      <c r="H227" s="215">
        <v>0.1282051282051282</v>
      </c>
      <c r="I227" s="216">
        <v>0.188</v>
      </c>
      <c r="J227" s="211">
        <v>188</v>
      </c>
      <c r="K227" s="212">
        <v>0</v>
      </c>
      <c r="L227" s="212">
        <v>1</v>
      </c>
      <c r="M227" s="83">
        <v>0</v>
      </c>
      <c r="N227" s="212">
        <v>0</v>
      </c>
      <c r="O227" s="212">
        <v>19</v>
      </c>
      <c r="P227" s="83">
        <v>34</v>
      </c>
      <c r="Q227" s="212">
        <v>1</v>
      </c>
      <c r="R227" s="212">
        <v>1</v>
      </c>
    </row>
    <row r="228" spans="2:18" ht="13.5">
      <c r="B228" s="52"/>
      <c r="C228" s="63"/>
      <c r="D228" s="10" t="s">
        <v>260</v>
      </c>
      <c r="E228" s="46">
        <v>30</v>
      </c>
      <c r="F228" s="46">
        <v>2</v>
      </c>
      <c r="G228" s="215">
        <v>0.00375234521575985</v>
      </c>
      <c r="H228" s="215">
        <v>0.06666666666666667</v>
      </c>
      <c r="I228" s="216">
        <v>0.197</v>
      </c>
      <c r="J228" s="211">
        <v>189</v>
      </c>
      <c r="K228" s="212">
        <v>0</v>
      </c>
      <c r="L228" s="212">
        <v>1</v>
      </c>
      <c r="M228" s="83">
        <v>0</v>
      </c>
      <c r="N228" s="212">
        <v>0</v>
      </c>
      <c r="O228" s="212">
        <v>27</v>
      </c>
      <c r="P228" s="83">
        <v>55</v>
      </c>
      <c r="Q228" s="212">
        <v>1</v>
      </c>
      <c r="R228" s="212">
        <v>1</v>
      </c>
    </row>
    <row r="229" spans="2:21" s="214" customFormat="1" ht="13.5">
      <c r="B229" s="207"/>
      <c r="C229" s="63"/>
      <c r="D229" s="10" t="s">
        <v>137</v>
      </c>
      <c r="E229" s="46">
        <v>21</v>
      </c>
      <c r="F229" s="46">
        <v>1</v>
      </c>
      <c r="G229" s="215">
        <v>0.001876172607879925</v>
      </c>
      <c r="H229" s="215">
        <v>0.047619047619047616</v>
      </c>
      <c r="I229" s="216">
        <v>0.181</v>
      </c>
      <c r="J229" s="211">
        <v>190</v>
      </c>
      <c r="K229" s="212">
        <v>0</v>
      </c>
      <c r="L229" s="212">
        <v>1</v>
      </c>
      <c r="M229" s="212">
        <v>0</v>
      </c>
      <c r="N229" s="212">
        <v>0</v>
      </c>
      <c r="O229" s="212">
        <v>48</v>
      </c>
      <c r="P229" s="212">
        <v>76</v>
      </c>
      <c r="Q229" s="212">
        <v>1</v>
      </c>
      <c r="R229" s="212">
        <v>1</v>
      </c>
      <c r="S229" s="212"/>
      <c r="T229" s="212"/>
      <c r="U229" s="213"/>
    </row>
    <row r="230" spans="2:21" s="214" customFormat="1" ht="13.5">
      <c r="B230" s="207"/>
      <c r="C230" s="217" t="s">
        <v>29</v>
      </c>
      <c r="D230" s="15"/>
      <c r="E230" s="218">
        <v>25</v>
      </c>
      <c r="F230" s="218">
        <v>3</v>
      </c>
      <c r="G230" s="219">
        <v>0.005628517823639775</v>
      </c>
      <c r="H230" s="219">
        <v>0.12</v>
      </c>
      <c r="I230" s="220">
        <v>0.21</v>
      </c>
      <c r="J230" s="211">
        <v>191</v>
      </c>
      <c r="K230" s="212">
        <v>1</v>
      </c>
      <c r="L230" s="212">
        <v>0</v>
      </c>
      <c r="M230" s="212">
        <v>21</v>
      </c>
      <c r="N230" s="212">
        <v>22</v>
      </c>
      <c r="O230" s="212">
        <v>0</v>
      </c>
      <c r="P230" s="212">
        <v>0</v>
      </c>
      <c r="Q230" s="212">
        <v>1</v>
      </c>
      <c r="R230" s="212">
        <v>1</v>
      </c>
      <c r="S230" s="212"/>
      <c r="T230" s="212"/>
      <c r="U230" s="213"/>
    </row>
    <row r="231" spans="2:18" ht="13.5">
      <c r="B231" s="52"/>
      <c r="C231" s="63"/>
      <c r="D231" s="10" t="s">
        <v>139</v>
      </c>
      <c r="E231" s="46">
        <v>11</v>
      </c>
      <c r="F231" s="46">
        <v>2</v>
      </c>
      <c r="G231" s="215">
        <v>0.00375234521575985</v>
      </c>
      <c r="H231" s="215">
        <v>0.18181818181818182</v>
      </c>
      <c r="I231" s="216">
        <v>0.217</v>
      </c>
      <c r="J231" s="211">
        <v>192</v>
      </c>
      <c r="K231" s="212">
        <v>0</v>
      </c>
      <c r="L231" s="212">
        <v>1</v>
      </c>
      <c r="M231" s="83">
        <v>0</v>
      </c>
      <c r="N231" s="212">
        <v>0</v>
      </c>
      <c r="O231" s="212">
        <v>70</v>
      </c>
      <c r="P231" s="83">
        <v>65</v>
      </c>
      <c r="Q231" s="212">
        <v>1</v>
      </c>
      <c r="R231" s="212">
        <v>1</v>
      </c>
    </row>
    <row r="232" spans="2:18" ht="13.5">
      <c r="B232" s="52"/>
      <c r="C232" s="63"/>
      <c r="D232" s="10" t="s">
        <v>1351</v>
      </c>
      <c r="E232" s="46">
        <v>3</v>
      </c>
      <c r="F232" s="46">
        <v>0</v>
      </c>
      <c r="G232" s="215">
        <v>0</v>
      </c>
      <c r="H232" s="215">
        <v>0</v>
      </c>
      <c r="I232" s="216">
        <v>0.23</v>
      </c>
      <c r="J232" s="211">
        <v>193</v>
      </c>
      <c r="K232" s="212">
        <v>0</v>
      </c>
      <c r="L232" s="212">
        <v>1</v>
      </c>
      <c r="M232" s="83">
        <v>0</v>
      </c>
      <c r="N232" s="212">
        <v>0</v>
      </c>
      <c r="O232" s="212">
        <v>114</v>
      </c>
      <c r="P232" s="83">
        <v>116</v>
      </c>
      <c r="Q232" s="212">
        <v>1</v>
      </c>
      <c r="R232" s="212">
        <v>0</v>
      </c>
    </row>
    <row r="233" spans="2:18" ht="13.5">
      <c r="B233" s="52"/>
      <c r="C233" s="63"/>
      <c r="D233" s="10" t="s">
        <v>1352</v>
      </c>
      <c r="E233" s="46">
        <v>6</v>
      </c>
      <c r="F233" s="46">
        <v>0</v>
      </c>
      <c r="G233" s="215">
        <v>0</v>
      </c>
      <c r="H233" s="215">
        <v>0</v>
      </c>
      <c r="I233" s="216">
        <v>0.168</v>
      </c>
      <c r="J233" s="211">
        <v>194</v>
      </c>
      <c r="K233" s="212">
        <v>0</v>
      </c>
      <c r="L233" s="212">
        <v>1</v>
      </c>
      <c r="M233" s="83">
        <v>0</v>
      </c>
      <c r="N233" s="212">
        <v>0</v>
      </c>
      <c r="O233" s="212">
        <v>87</v>
      </c>
      <c r="P233" s="83">
        <v>98</v>
      </c>
      <c r="Q233" s="212">
        <v>1</v>
      </c>
      <c r="R233" s="212">
        <v>0</v>
      </c>
    </row>
    <row r="234" spans="2:18" ht="13.5">
      <c r="B234" s="52"/>
      <c r="C234" s="63"/>
      <c r="D234" s="10" t="s">
        <v>261</v>
      </c>
      <c r="E234" s="46">
        <v>4</v>
      </c>
      <c r="F234" s="46">
        <v>1</v>
      </c>
      <c r="G234" s="215">
        <v>0.001876172607879925</v>
      </c>
      <c r="H234" s="215">
        <v>0.25</v>
      </c>
      <c r="I234" s="216">
        <v>0.213</v>
      </c>
      <c r="J234" s="211">
        <v>195</v>
      </c>
      <c r="K234" s="212">
        <v>0</v>
      </c>
      <c r="L234" s="212">
        <v>1</v>
      </c>
      <c r="M234" s="83">
        <v>0</v>
      </c>
      <c r="N234" s="212">
        <v>0</v>
      </c>
      <c r="O234" s="212">
        <v>102</v>
      </c>
      <c r="P234" s="83">
        <v>84</v>
      </c>
      <c r="Q234" s="212">
        <v>1</v>
      </c>
      <c r="R234" s="212">
        <v>1</v>
      </c>
    </row>
    <row r="235" spans="2:18" ht="13.5">
      <c r="B235" s="52"/>
      <c r="C235" s="63"/>
      <c r="D235" s="10" t="s">
        <v>262</v>
      </c>
      <c r="E235" s="46">
        <v>1</v>
      </c>
      <c r="F235" s="46">
        <v>0</v>
      </c>
      <c r="G235" s="215">
        <v>0</v>
      </c>
      <c r="H235" s="215">
        <v>0</v>
      </c>
      <c r="I235" s="216">
        <v>0.192</v>
      </c>
      <c r="J235" s="211">
        <v>196</v>
      </c>
      <c r="K235" s="212">
        <v>0</v>
      </c>
      <c r="L235" s="212">
        <v>1</v>
      </c>
      <c r="M235" s="83">
        <v>0</v>
      </c>
      <c r="N235" s="212">
        <v>0</v>
      </c>
      <c r="O235" s="212">
        <v>133</v>
      </c>
      <c r="P235" s="83">
        <v>133</v>
      </c>
      <c r="Q235" s="212">
        <v>1</v>
      </c>
      <c r="R235" s="212">
        <v>0</v>
      </c>
    </row>
    <row r="236" spans="2:21" s="214" customFormat="1" ht="13.5">
      <c r="B236" s="207"/>
      <c r="C236" s="63"/>
      <c r="D236" s="10" t="s">
        <v>263</v>
      </c>
      <c r="E236" s="46">
        <v>0</v>
      </c>
      <c r="F236" s="46">
        <v>0</v>
      </c>
      <c r="G236" s="215">
        <v>0</v>
      </c>
      <c r="H236" s="215">
        <v>0</v>
      </c>
      <c r="I236" s="216">
        <v>0.225</v>
      </c>
      <c r="J236" s="211">
        <v>197</v>
      </c>
      <c r="K236" s="212">
        <v>0</v>
      </c>
      <c r="L236" s="212">
        <v>1</v>
      </c>
      <c r="M236" s="212">
        <v>0</v>
      </c>
      <c r="N236" s="212">
        <v>0</v>
      </c>
      <c r="O236" s="212">
        <v>184</v>
      </c>
      <c r="P236" s="212">
        <v>184</v>
      </c>
      <c r="Q236" s="212">
        <v>0</v>
      </c>
      <c r="R236" s="212">
        <v>0</v>
      </c>
      <c r="S236" s="212"/>
      <c r="T236" s="212"/>
      <c r="U236" s="213"/>
    </row>
    <row r="237" spans="2:21" s="214" customFormat="1" ht="13.5">
      <c r="B237" s="207"/>
      <c r="C237" s="217" t="s">
        <v>30</v>
      </c>
      <c r="D237" s="15"/>
      <c r="E237" s="218">
        <v>65</v>
      </c>
      <c r="F237" s="218">
        <v>6</v>
      </c>
      <c r="G237" s="219">
        <v>0.01125703564727955</v>
      </c>
      <c r="H237" s="219">
        <v>0.09230769230769231</v>
      </c>
      <c r="I237" s="220">
        <v>0.169</v>
      </c>
      <c r="J237" s="211">
        <v>198</v>
      </c>
      <c r="K237" s="212">
        <v>1</v>
      </c>
      <c r="L237" s="212">
        <v>0</v>
      </c>
      <c r="M237" s="212">
        <v>14</v>
      </c>
      <c r="N237" s="212">
        <v>14</v>
      </c>
      <c r="O237" s="212">
        <v>0</v>
      </c>
      <c r="P237" s="212">
        <v>0</v>
      </c>
      <c r="Q237" s="212">
        <v>1</v>
      </c>
      <c r="R237" s="212">
        <v>1</v>
      </c>
      <c r="S237" s="212"/>
      <c r="T237" s="212"/>
      <c r="U237" s="213"/>
    </row>
    <row r="238" spans="2:18" ht="13.5">
      <c r="B238" s="52"/>
      <c r="C238" s="63"/>
      <c r="D238" s="10" t="s">
        <v>266</v>
      </c>
      <c r="E238" s="46">
        <v>28</v>
      </c>
      <c r="F238" s="46">
        <v>3</v>
      </c>
      <c r="G238" s="215">
        <v>0.005628517823639775</v>
      </c>
      <c r="H238" s="215">
        <v>0.10714285714285714</v>
      </c>
      <c r="I238" s="216">
        <v>0.156</v>
      </c>
      <c r="J238" s="211">
        <v>199</v>
      </c>
      <c r="K238" s="212">
        <v>0</v>
      </c>
      <c r="L238" s="212">
        <v>1</v>
      </c>
      <c r="M238" s="83">
        <v>0</v>
      </c>
      <c r="N238" s="212">
        <v>0</v>
      </c>
      <c r="O238" s="212">
        <v>33</v>
      </c>
      <c r="P238" s="83">
        <v>45</v>
      </c>
      <c r="Q238" s="212">
        <v>1</v>
      </c>
      <c r="R238" s="212">
        <v>1</v>
      </c>
    </row>
    <row r="239" spans="2:21" s="214" customFormat="1" ht="13.5">
      <c r="B239" s="207"/>
      <c r="C239" s="63"/>
      <c r="D239" s="10" t="s">
        <v>267</v>
      </c>
      <c r="E239" s="46">
        <v>37</v>
      </c>
      <c r="F239" s="46">
        <v>3</v>
      </c>
      <c r="G239" s="215">
        <v>0.005628517823639775</v>
      </c>
      <c r="H239" s="215">
        <v>0.08108108108108109</v>
      </c>
      <c r="I239" s="216">
        <v>0.19</v>
      </c>
      <c r="J239" s="211">
        <v>200</v>
      </c>
      <c r="K239" s="212">
        <v>0</v>
      </c>
      <c r="L239" s="212">
        <v>1</v>
      </c>
      <c r="M239" s="212">
        <v>0</v>
      </c>
      <c r="N239" s="212">
        <v>0</v>
      </c>
      <c r="O239" s="212">
        <v>22</v>
      </c>
      <c r="P239" s="212">
        <v>44</v>
      </c>
      <c r="Q239" s="212">
        <v>1</v>
      </c>
      <c r="R239" s="212">
        <v>1</v>
      </c>
      <c r="S239" s="212"/>
      <c r="T239" s="212"/>
      <c r="U239" s="213"/>
    </row>
    <row r="240" spans="2:21" s="214" customFormat="1" ht="13.5">
      <c r="B240" s="207"/>
      <c r="C240" s="217" t="s">
        <v>31</v>
      </c>
      <c r="D240" s="15"/>
      <c r="E240" s="218">
        <v>59</v>
      </c>
      <c r="F240" s="218">
        <v>4</v>
      </c>
      <c r="G240" s="219">
        <v>0.0075046904315197</v>
      </c>
      <c r="H240" s="219">
        <v>0.06779661016949153</v>
      </c>
      <c r="I240" s="220">
        <v>0.2</v>
      </c>
      <c r="J240" s="211">
        <v>201</v>
      </c>
      <c r="K240" s="212">
        <v>1</v>
      </c>
      <c r="L240" s="212">
        <v>0</v>
      </c>
      <c r="M240" s="212">
        <v>15</v>
      </c>
      <c r="N240" s="212">
        <v>17</v>
      </c>
      <c r="O240" s="212">
        <v>0</v>
      </c>
      <c r="P240" s="212">
        <v>0</v>
      </c>
      <c r="Q240" s="212">
        <v>1</v>
      </c>
      <c r="R240" s="212">
        <v>1</v>
      </c>
      <c r="S240" s="212"/>
      <c r="T240" s="212"/>
      <c r="U240" s="213"/>
    </row>
    <row r="241" spans="2:18" ht="13.5">
      <c r="B241" s="52"/>
      <c r="C241" s="63"/>
      <c r="D241" s="10" t="s">
        <v>140</v>
      </c>
      <c r="E241" s="46">
        <v>13</v>
      </c>
      <c r="F241" s="46">
        <v>1</v>
      </c>
      <c r="G241" s="215">
        <v>0.001876172607879925</v>
      </c>
      <c r="H241" s="215">
        <v>0.07692307692307693</v>
      </c>
      <c r="I241" s="216">
        <v>0.182</v>
      </c>
      <c r="J241" s="211">
        <v>202</v>
      </c>
      <c r="K241" s="212">
        <v>0</v>
      </c>
      <c r="L241" s="212">
        <v>1</v>
      </c>
      <c r="M241" s="83">
        <v>0</v>
      </c>
      <c r="N241" s="212">
        <v>0</v>
      </c>
      <c r="O241" s="212">
        <v>61</v>
      </c>
      <c r="P241" s="83">
        <v>78</v>
      </c>
      <c r="Q241" s="212">
        <v>1</v>
      </c>
      <c r="R241" s="212">
        <v>1</v>
      </c>
    </row>
    <row r="242" spans="2:18" ht="13.5">
      <c r="B242" s="52"/>
      <c r="C242" s="63"/>
      <c r="D242" s="10" t="s">
        <v>142</v>
      </c>
      <c r="E242" s="46">
        <v>14</v>
      </c>
      <c r="F242" s="46">
        <v>2</v>
      </c>
      <c r="G242" s="215">
        <v>0.00375234521575985</v>
      </c>
      <c r="H242" s="215">
        <v>0.14285714285714285</v>
      </c>
      <c r="I242" s="216">
        <v>0.209</v>
      </c>
      <c r="J242" s="211">
        <v>203</v>
      </c>
      <c r="K242" s="212">
        <v>0</v>
      </c>
      <c r="L242" s="212">
        <v>1</v>
      </c>
      <c r="M242" s="83">
        <v>0</v>
      </c>
      <c r="N242" s="212">
        <v>0</v>
      </c>
      <c r="O242" s="212">
        <v>56</v>
      </c>
      <c r="P242" s="83">
        <v>61</v>
      </c>
      <c r="Q242" s="212">
        <v>1</v>
      </c>
      <c r="R242" s="212">
        <v>1</v>
      </c>
    </row>
    <row r="243" spans="2:18" ht="13.5">
      <c r="B243" s="52"/>
      <c r="C243" s="63"/>
      <c r="D243" s="10" t="s">
        <v>264</v>
      </c>
      <c r="E243" s="46">
        <v>10</v>
      </c>
      <c r="F243" s="46">
        <v>0</v>
      </c>
      <c r="G243" s="215">
        <v>0</v>
      </c>
      <c r="H243" s="215">
        <v>0</v>
      </c>
      <c r="I243" s="216">
        <v>0.199</v>
      </c>
      <c r="J243" s="211">
        <v>204</v>
      </c>
      <c r="K243" s="212">
        <v>0</v>
      </c>
      <c r="L243" s="212">
        <v>1</v>
      </c>
      <c r="M243" s="221">
        <v>0</v>
      </c>
      <c r="N243" s="212">
        <v>0</v>
      </c>
      <c r="O243" s="212">
        <v>73</v>
      </c>
      <c r="P243" s="83">
        <v>92</v>
      </c>
      <c r="Q243" s="212">
        <v>1</v>
      </c>
      <c r="R243" s="212">
        <v>0</v>
      </c>
    </row>
    <row r="244" spans="2:21" s="214" customFormat="1" ht="13.5">
      <c r="B244" s="207"/>
      <c r="C244" s="63"/>
      <c r="D244" s="10" t="s">
        <v>141</v>
      </c>
      <c r="E244" s="46">
        <v>22</v>
      </c>
      <c r="F244" s="46">
        <v>1</v>
      </c>
      <c r="G244" s="215">
        <v>0.001876172607879925</v>
      </c>
      <c r="H244" s="215">
        <v>0.045454545454545456</v>
      </c>
      <c r="I244" s="216">
        <v>0.203</v>
      </c>
      <c r="J244" s="211">
        <v>205</v>
      </c>
      <c r="K244" s="212">
        <v>0</v>
      </c>
      <c r="L244" s="212">
        <v>1</v>
      </c>
      <c r="M244" s="212">
        <v>0</v>
      </c>
      <c r="N244" s="212">
        <v>0</v>
      </c>
      <c r="O244" s="212">
        <v>44</v>
      </c>
      <c r="P244" s="212">
        <v>75</v>
      </c>
      <c r="Q244" s="212">
        <v>1</v>
      </c>
      <c r="R244" s="212">
        <v>1</v>
      </c>
      <c r="S244" s="212"/>
      <c r="T244" s="212"/>
      <c r="U244" s="213"/>
    </row>
    <row r="245" spans="2:21" s="214" customFormat="1" ht="13.5">
      <c r="B245" s="207"/>
      <c r="C245" s="217" t="s">
        <v>32</v>
      </c>
      <c r="D245" s="15"/>
      <c r="E245" s="218">
        <v>27</v>
      </c>
      <c r="F245" s="218">
        <v>4</v>
      </c>
      <c r="G245" s="219">
        <v>0.0075046904315197</v>
      </c>
      <c r="H245" s="219">
        <v>0.14814814814814814</v>
      </c>
      <c r="I245" s="220">
        <v>0.19</v>
      </c>
      <c r="J245" s="211">
        <v>206</v>
      </c>
      <c r="K245" s="212">
        <v>1</v>
      </c>
      <c r="L245" s="212">
        <v>0</v>
      </c>
      <c r="M245" s="212">
        <v>20</v>
      </c>
      <c r="N245" s="212">
        <v>20</v>
      </c>
      <c r="O245" s="212">
        <v>0</v>
      </c>
      <c r="P245" s="212">
        <v>0</v>
      </c>
      <c r="Q245" s="212">
        <v>1</v>
      </c>
      <c r="R245" s="212">
        <v>1</v>
      </c>
      <c r="S245" s="212"/>
      <c r="T245" s="212"/>
      <c r="U245" s="213"/>
    </row>
    <row r="246" spans="2:18" ht="13.5">
      <c r="B246" s="52"/>
      <c r="C246" s="63"/>
      <c r="D246" s="10" t="s">
        <v>144</v>
      </c>
      <c r="E246" s="46">
        <v>15</v>
      </c>
      <c r="F246" s="46">
        <v>3</v>
      </c>
      <c r="G246" s="215">
        <v>0.005628517823639775</v>
      </c>
      <c r="H246" s="215">
        <v>0.2</v>
      </c>
      <c r="I246" s="216">
        <v>0.175</v>
      </c>
      <c r="J246" s="211">
        <v>207</v>
      </c>
      <c r="K246" s="212">
        <v>0</v>
      </c>
      <c r="L246" s="212">
        <v>1</v>
      </c>
      <c r="M246" s="83">
        <v>0</v>
      </c>
      <c r="N246" s="212">
        <v>0</v>
      </c>
      <c r="O246" s="212">
        <v>55</v>
      </c>
      <c r="P246" s="83">
        <v>49</v>
      </c>
      <c r="Q246" s="212">
        <v>1</v>
      </c>
      <c r="R246" s="212">
        <v>1</v>
      </c>
    </row>
    <row r="247" spans="2:21" s="214" customFormat="1" ht="13.5">
      <c r="B247" s="207"/>
      <c r="C247" s="63"/>
      <c r="D247" s="10" t="s">
        <v>143</v>
      </c>
      <c r="E247" s="46">
        <v>12</v>
      </c>
      <c r="F247" s="46">
        <v>1</v>
      </c>
      <c r="G247" s="215">
        <v>0.001876172607879925</v>
      </c>
      <c r="H247" s="215">
        <v>0.08333333333333333</v>
      </c>
      <c r="I247" s="216">
        <v>0.194</v>
      </c>
      <c r="J247" s="211">
        <v>208</v>
      </c>
      <c r="K247" s="212">
        <v>0</v>
      </c>
      <c r="L247" s="212">
        <v>1</v>
      </c>
      <c r="M247" s="212">
        <v>0</v>
      </c>
      <c r="N247" s="212">
        <v>0</v>
      </c>
      <c r="O247" s="212">
        <v>68</v>
      </c>
      <c r="P247" s="212">
        <v>79</v>
      </c>
      <c r="Q247" s="212">
        <v>1</v>
      </c>
      <c r="R247" s="212">
        <v>1</v>
      </c>
      <c r="S247" s="212"/>
      <c r="T247" s="212"/>
      <c r="U247" s="213"/>
    </row>
    <row r="248" spans="2:21" s="214" customFormat="1" ht="13.5">
      <c r="B248" s="207"/>
      <c r="C248" s="217" t="s">
        <v>33</v>
      </c>
      <c r="D248" s="15"/>
      <c r="E248" s="218">
        <v>8</v>
      </c>
      <c r="F248" s="218">
        <v>2</v>
      </c>
      <c r="G248" s="219">
        <v>0.00375234521575985</v>
      </c>
      <c r="H248" s="219">
        <v>0.25</v>
      </c>
      <c r="I248" s="220">
        <v>0.226</v>
      </c>
      <c r="J248" s="211">
        <v>209</v>
      </c>
      <c r="K248" s="212">
        <v>1</v>
      </c>
      <c r="L248" s="212">
        <v>0</v>
      </c>
      <c r="M248" s="212">
        <v>25</v>
      </c>
      <c r="N248" s="212">
        <v>23</v>
      </c>
      <c r="O248" s="212">
        <v>0</v>
      </c>
      <c r="P248" s="212">
        <v>0</v>
      </c>
      <c r="Q248" s="212">
        <v>1</v>
      </c>
      <c r="R248" s="212">
        <v>1</v>
      </c>
      <c r="S248" s="212"/>
      <c r="T248" s="212"/>
      <c r="U248" s="213"/>
    </row>
    <row r="249" spans="2:18" ht="13.5">
      <c r="B249" s="52"/>
      <c r="C249" s="65"/>
      <c r="D249" s="108" t="s">
        <v>265</v>
      </c>
      <c r="E249" s="66">
        <v>8</v>
      </c>
      <c r="F249" s="66">
        <v>2</v>
      </c>
      <c r="G249" s="222">
        <v>0.00375234521575985</v>
      </c>
      <c r="H249" s="222">
        <v>0.25</v>
      </c>
      <c r="I249" s="223">
        <v>0.226</v>
      </c>
      <c r="J249" s="211">
        <v>210</v>
      </c>
      <c r="K249" s="212">
        <v>0</v>
      </c>
      <c r="L249" s="212">
        <v>1</v>
      </c>
      <c r="M249" s="83">
        <v>0</v>
      </c>
      <c r="N249" s="212">
        <v>0</v>
      </c>
      <c r="O249" s="212">
        <v>81</v>
      </c>
      <c r="P249" s="83">
        <v>70</v>
      </c>
      <c r="Q249" s="212">
        <v>1</v>
      </c>
      <c r="R249" s="212">
        <v>1</v>
      </c>
    </row>
    <row r="250" spans="2:10" ht="14.25" thickBot="1">
      <c r="B250" s="89"/>
      <c r="C250" s="90"/>
      <c r="D250" s="90"/>
      <c r="E250" s="90"/>
      <c r="F250" s="90"/>
      <c r="G250" s="90"/>
      <c r="H250" s="224"/>
      <c r="I250" s="224"/>
      <c r="J250" s="225"/>
    </row>
  </sheetData>
  <sheetProtection/>
  <autoFilter ref="C39:R249">
    <sortState ref="C40:R250">
      <sortCondition sortBy="value" ref="J40:J250"/>
    </sortState>
  </autoFilter>
  <dataValidations count="10">
    <dataValidation allowBlank="1" showInputMessage="1" showErrorMessage="1" promptTitle="% total accepts" prompt="the percentage of acceptances out of the total acceptances" sqref="G38:G39"/>
    <dataValidation allowBlank="1" showInputMessage="1" showErrorMessage="1" promptTitle="accepts" prompt="the number of applicants that accepted a place at an institution" sqref="F39"/>
    <dataValidation allowBlank="1" showInputMessage="1" showErrorMessage="1" promptTitle="choices" prompt="the number of choices made by your applicants through the mainscheme, these are the applications listed in the application form" sqref="E39"/>
    <dataValidation allowBlank="1" showInputMessage="1" showErrorMessage="1" promptTitle="my centre choice:accept ratio" prompt="a ratio showing the number of applications to the number of acceptances for your centre" sqref="H39"/>
    <dataValidation allowBlank="1" showInputMessage="1" showErrorMessage="1" promptTitle="nationally choice:accept ratio" prompt="a ratio showing the number of applications to the number of acceptances for UCAS" sqref="I39"/>
    <dataValidation allowBlank="1" showInputMessage="1" showErrorMessage="1" promptTitle="accepts" prompt="The number of applicants who accepted a place" sqref="F38 F18"/>
    <dataValidation allowBlank="1" showInputMessage="1" showErrorMessage="1" promptTitle="my centre percentage" prompt="For your centre the percentage of total choices that were accepted in each subject" sqref="H38"/>
    <dataValidation allowBlank="1" showInputMessage="1" showErrorMessage="1" promptTitle="national percentage" prompt="For UCAS the percentage of total choices that were accepted in each subject" sqref="I38"/>
    <dataValidation allowBlank="1" showInputMessage="1" showErrorMessage="1" promptTitle="choices" prompt="the number of choices (applications) the applicants made" sqref="E38 E18"/>
    <dataValidation allowBlank="1" showInputMessage="1" showErrorMessage="1" promptTitle="applicants" prompt="the number of applicants with your centre code that applied to UCAS" sqref="D18"/>
  </dataValidation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3" r:id="rId2"/>
  <rowBreaks count="1" manualBreakCount="1">
    <brk id="7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rgb="FF009FEE"/>
    <pageSetUpPr fitToPage="1"/>
  </sheetPr>
  <dimension ref="A1:DZ642"/>
  <sheetViews>
    <sheetView showGridLines="0" showRowColHeaders="0" zoomScalePageLayoutView="0" workbookViewId="0" topLeftCell="A1">
      <selection activeCell="J10" sqref="J10"/>
    </sheetView>
  </sheetViews>
  <sheetFormatPr defaultColWidth="9.140625" defaultRowHeight="12.75"/>
  <cols>
    <col min="1" max="1" width="9.140625" style="167" customWidth="1"/>
    <col min="2" max="2" width="5.00390625" style="167" bestFit="1" customWidth="1"/>
    <col min="3" max="3" width="19.421875" style="167" customWidth="1"/>
    <col min="4" max="4" width="23.57421875" style="167" customWidth="1"/>
    <col min="5" max="6" width="13.28125" style="167" customWidth="1"/>
    <col min="7" max="7" width="14.57421875" style="167" bestFit="1" customWidth="1"/>
    <col min="8" max="8" width="15.57421875" style="167" bestFit="1" customWidth="1"/>
    <col min="9" max="10" width="13.28125" style="167" customWidth="1"/>
    <col min="11" max="11" width="14.57421875" style="167" bestFit="1" customWidth="1"/>
    <col min="12" max="12" width="15.57421875" style="169" bestFit="1" customWidth="1"/>
    <col min="13" max="13" width="2.421875" style="167" customWidth="1"/>
    <col min="14" max="14" width="9.140625" style="170" customWidth="1"/>
    <col min="15" max="55" width="9.140625" style="172" customWidth="1"/>
    <col min="56" max="60" width="9.140625" style="177" customWidth="1"/>
    <col min="61" max="77" width="9.140625" style="172" customWidth="1"/>
    <col min="78" max="130" width="9.140625" style="168" customWidth="1"/>
    <col min="131" max="16384" width="9.140625" style="174" customWidth="1"/>
  </cols>
  <sheetData>
    <row r="1" spans="1:129" ht="12.75">
      <c r="A1" s="174"/>
      <c r="B1" s="168">
        <v>1</v>
      </c>
      <c r="C1" s="168"/>
      <c r="O1" s="171" t="s">
        <v>1326</v>
      </c>
      <c r="P1" s="172" t="s">
        <v>1353</v>
      </c>
      <c r="Q1" s="171" t="s">
        <v>1355</v>
      </c>
      <c r="R1" s="171" t="s">
        <v>1356</v>
      </c>
      <c r="S1" s="173">
        <v>1</v>
      </c>
      <c r="Y1" s="172">
        <v>1</v>
      </c>
      <c r="Z1" s="172">
        <v>2</v>
      </c>
      <c r="AA1" s="172">
        <v>3</v>
      </c>
      <c r="AB1" s="172">
        <v>4</v>
      </c>
      <c r="AC1" s="172">
        <v>5</v>
      </c>
      <c r="AD1" s="172">
        <v>6</v>
      </c>
      <c r="AE1" s="172">
        <v>7</v>
      </c>
      <c r="AF1" s="172">
        <v>8</v>
      </c>
      <c r="AG1" s="172">
        <v>9</v>
      </c>
      <c r="AH1" s="172">
        <v>10</v>
      </c>
      <c r="AI1" s="172">
        <v>11</v>
      </c>
      <c r="AJ1" s="172">
        <v>12</v>
      </c>
      <c r="AK1" s="172">
        <v>13</v>
      </c>
      <c r="AL1" s="172">
        <v>14</v>
      </c>
      <c r="AM1" s="172">
        <v>15</v>
      </c>
      <c r="AN1" s="172">
        <v>16</v>
      </c>
      <c r="AO1" s="172">
        <v>17</v>
      </c>
      <c r="AP1" s="172">
        <v>18</v>
      </c>
      <c r="AQ1" s="172">
        <v>19</v>
      </c>
      <c r="AR1" s="172">
        <v>20</v>
      </c>
      <c r="AS1" s="172">
        <v>21</v>
      </c>
      <c r="AT1" s="172">
        <v>22</v>
      </c>
      <c r="AU1" s="172">
        <v>23</v>
      </c>
      <c r="AV1" s="172">
        <v>24</v>
      </c>
      <c r="AW1" s="172">
        <v>25</v>
      </c>
      <c r="AX1" s="172">
        <v>26</v>
      </c>
      <c r="AY1" s="172">
        <v>27</v>
      </c>
      <c r="AZ1" s="172">
        <v>28</v>
      </c>
      <c r="BA1" s="172">
        <v>29</v>
      </c>
      <c r="BB1" s="172">
        <v>30</v>
      </c>
      <c r="BC1" s="172">
        <v>31</v>
      </c>
      <c r="BD1" s="172">
        <v>32</v>
      </c>
      <c r="BE1" s="172">
        <v>33</v>
      </c>
      <c r="BF1" s="172">
        <v>34</v>
      </c>
      <c r="BG1" s="172">
        <v>35</v>
      </c>
      <c r="BH1" s="172">
        <v>36</v>
      </c>
      <c r="BI1" s="172">
        <v>37</v>
      </c>
      <c r="BJ1" s="172">
        <v>38</v>
      </c>
      <c r="BK1" s="172">
        <v>39</v>
      </c>
      <c r="BL1" s="172">
        <v>40</v>
      </c>
      <c r="BM1" s="172">
        <v>41</v>
      </c>
      <c r="BN1" s="172">
        <v>42</v>
      </c>
      <c r="BO1" s="172">
        <v>43</v>
      </c>
      <c r="BP1" s="172">
        <v>44</v>
      </c>
      <c r="BQ1" s="172">
        <v>45</v>
      </c>
      <c r="BR1" s="172">
        <v>46</v>
      </c>
      <c r="BS1" s="172">
        <v>47</v>
      </c>
      <c r="BT1" s="172">
        <v>48</v>
      </c>
      <c r="BU1" s="172">
        <v>49</v>
      </c>
      <c r="BV1" s="172">
        <v>50</v>
      </c>
      <c r="BW1" s="172">
        <v>51</v>
      </c>
      <c r="BX1" s="172">
        <v>52</v>
      </c>
      <c r="BY1" s="172">
        <v>53</v>
      </c>
      <c r="BZ1" s="172">
        <v>54</v>
      </c>
      <c r="CA1" s="172">
        <v>55</v>
      </c>
      <c r="CB1" s="172">
        <v>56</v>
      </c>
      <c r="CC1" s="172">
        <v>57</v>
      </c>
      <c r="CD1" s="172">
        <v>58</v>
      </c>
      <c r="CE1" s="172">
        <v>59</v>
      </c>
      <c r="CF1" s="172">
        <v>60</v>
      </c>
      <c r="CG1" s="172">
        <v>61</v>
      </c>
      <c r="CH1" s="172">
        <v>62</v>
      </c>
      <c r="CI1" s="172">
        <v>63</v>
      </c>
      <c r="CJ1" s="172">
        <v>64</v>
      </c>
      <c r="CK1" s="172">
        <v>65</v>
      </c>
      <c r="CL1" s="172">
        <v>66</v>
      </c>
      <c r="CM1" s="172">
        <v>67</v>
      </c>
      <c r="CN1" s="172">
        <v>68</v>
      </c>
      <c r="CO1" s="172">
        <v>69</v>
      </c>
      <c r="CP1" s="172">
        <v>70</v>
      </c>
      <c r="CQ1" s="172">
        <v>71</v>
      </c>
      <c r="CR1" s="172">
        <v>72</v>
      </c>
      <c r="CS1" s="172">
        <v>73</v>
      </c>
      <c r="CT1" s="172">
        <v>74</v>
      </c>
      <c r="CU1" s="172">
        <v>75</v>
      </c>
      <c r="CV1" s="172">
        <v>76</v>
      </c>
      <c r="CW1" s="172">
        <v>77</v>
      </c>
      <c r="CX1" s="172">
        <v>78</v>
      </c>
      <c r="CY1" s="172">
        <v>79</v>
      </c>
      <c r="CZ1" s="172">
        <v>80</v>
      </c>
      <c r="DA1" s="172">
        <v>81</v>
      </c>
      <c r="DB1" s="172">
        <v>82</v>
      </c>
      <c r="DC1" s="172">
        <v>83</v>
      </c>
      <c r="DD1" s="172">
        <v>84</v>
      </c>
      <c r="DE1" s="172">
        <v>85</v>
      </c>
      <c r="DF1" s="172">
        <v>86</v>
      </c>
      <c r="DG1" s="172">
        <v>87</v>
      </c>
      <c r="DH1" s="172">
        <v>88</v>
      </c>
      <c r="DI1" s="172">
        <v>89</v>
      </c>
      <c r="DJ1" s="172">
        <v>90</v>
      </c>
      <c r="DK1" s="172">
        <v>91</v>
      </c>
      <c r="DL1" s="172">
        <v>92</v>
      </c>
      <c r="DM1" s="172">
        <v>93</v>
      </c>
      <c r="DN1" s="172">
        <v>94</v>
      </c>
      <c r="DO1" s="172">
        <v>95</v>
      </c>
      <c r="DP1" s="172">
        <v>96</v>
      </c>
      <c r="DQ1" s="172">
        <v>97</v>
      </c>
      <c r="DR1" s="172">
        <v>98</v>
      </c>
      <c r="DS1" s="172">
        <v>99</v>
      </c>
      <c r="DT1" s="172">
        <v>100</v>
      </c>
      <c r="DU1" s="172">
        <v>101</v>
      </c>
      <c r="DV1" s="172">
        <v>102</v>
      </c>
      <c r="DW1" s="172">
        <v>103</v>
      </c>
      <c r="DX1" s="172">
        <v>104</v>
      </c>
      <c r="DY1" s="172">
        <v>105</v>
      </c>
    </row>
    <row r="2" spans="1:129" ht="12.75">
      <c r="A2" s="175"/>
      <c r="B2" s="176"/>
      <c r="O2" s="171" t="s">
        <v>1326</v>
      </c>
      <c r="P2" s="172" t="s">
        <v>1353</v>
      </c>
      <c r="Q2" s="171" t="s">
        <v>318</v>
      </c>
      <c r="R2" s="171" t="s">
        <v>319</v>
      </c>
      <c r="S2" s="173">
        <v>2</v>
      </c>
      <c r="Z2" s="172" t="s">
        <v>5</v>
      </c>
      <c r="AA2" s="172" t="s">
        <v>5</v>
      </c>
      <c r="AB2" s="172" t="s">
        <v>5</v>
      </c>
      <c r="AC2" s="172" t="s">
        <v>5</v>
      </c>
      <c r="AD2" s="172" t="s">
        <v>5</v>
      </c>
      <c r="AE2" s="172" t="s">
        <v>5</v>
      </c>
      <c r="AF2" s="172" t="s">
        <v>5</v>
      </c>
      <c r="AG2" s="172" t="s">
        <v>5</v>
      </c>
      <c r="AH2" s="172" t="s">
        <v>5</v>
      </c>
      <c r="AI2" s="172" t="s">
        <v>5</v>
      </c>
      <c r="AJ2" s="172" t="s">
        <v>5</v>
      </c>
      <c r="AK2" s="172" t="s">
        <v>5</v>
      </c>
      <c r="AL2" s="172" t="s">
        <v>5</v>
      </c>
      <c r="AM2" s="172" t="s">
        <v>5</v>
      </c>
      <c r="AN2" s="172" t="s">
        <v>5</v>
      </c>
      <c r="AO2" s="172" t="s">
        <v>5</v>
      </c>
      <c r="AP2" s="172" t="s">
        <v>5</v>
      </c>
      <c r="AQ2" s="172" t="s">
        <v>5</v>
      </c>
      <c r="AR2" s="172" t="s">
        <v>5</v>
      </c>
      <c r="AS2" s="172" t="s">
        <v>5</v>
      </c>
      <c r="AT2" s="172" t="s">
        <v>5</v>
      </c>
      <c r="AU2" s="172" t="s">
        <v>5</v>
      </c>
      <c r="AV2" s="172" t="s">
        <v>5</v>
      </c>
      <c r="AW2" s="172" t="s">
        <v>5</v>
      </c>
      <c r="AX2" s="172" t="s">
        <v>5</v>
      </c>
      <c r="AY2" s="172" t="s">
        <v>5</v>
      </c>
      <c r="AZ2" s="172" t="s">
        <v>5</v>
      </c>
      <c r="BA2" s="172" t="s">
        <v>5</v>
      </c>
      <c r="BB2" s="172" t="s">
        <v>5</v>
      </c>
      <c r="BC2" s="172" t="s">
        <v>5</v>
      </c>
      <c r="BD2" s="172" t="s">
        <v>5</v>
      </c>
      <c r="BE2" s="172" t="s">
        <v>5</v>
      </c>
      <c r="BF2" s="172" t="s">
        <v>5</v>
      </c>
      <c r="BG2" s="172" t="s">
        <v>5</v>
      </c>
      <c r="BH2" s="172" t="s">
        <v>5</v>
      </c>
      <c r="BI2" s="172" t="s">
        <v>5</v>
      </c>
      <c r="BJ2" s="172" t="s">
        <v>5</v>
      </c>
      <c r="BK2" s="172" t="s">
        <v>5</v>
      </c>
      <c r="BL2" s="172" t="s">
        <v>5</v>
      </c>
      <c r="BM2" s="172" t="s">
        <v>5</v>
      </c>
      <c r="BN2" s="172" t="s">
        <v>5</v>
      </c>
      <c r="BO2" s="172" t="s">
        <v>5</v>
      </c>
      <c r="BP2" s="172" t="s">
        <v>5</v>
      </c>
      <c r="BQ2" s="172" t="s">
        <v>5</v>
      </c>
      <c r="BR2" s="172" t="s">
        <v>5</v>
      </c>
      <c r="BS2" s="172" t="s">
        <v>5</v>
      </c>
      <c r="BT2" s="172" t="s">
        <v>5</v>
      </c>
      <c r="BU2" s="172" t="s">
        <v>5</v>
      </c>
      <c r="BV2" s="172" t="s">
        <v>5</v>
      </c>
      <c r="BW2" s="172" t="s">
        <v>5</v>
      </c>
      <c r="BX2" s="172" t="s">
        <v>5</v>
      </c>
      <c r="BY2" s="172" t="s">
        <v>5</v>
      </c>
      <c r="BZ2" s="170" t="s">
        <v>413</v>
      </c>
      <c r="CA2" s="170" t="s">
        <v>413</v>
      </c>
      <c r="CB2" s="170" t="s">
        <v>413</v>
      </c>
      <c r="CC2" s="170" t="s">
        <v>413</v>
      </c>
      <c r="CD2" s="170" t="s">
        <v>413</v>
      </c>
      <c r="CE2" s="170" t="s">
        <v>413</v>
      </c>
      <c r="CF2" s="170" t="s">
        <v>413</v>
      </c>
      <c r="CG2" s="170" t="s">
        <v>413</v>
      </c>
      <c r="CH2" s="170" t="s">
        <v>413</v>
      </c>
      <c r="CI2" s="170" t="s">
        <v>413</v>
      </c>
      <c r="CJ2" s="170" t="s">
        <v>413</v>
      </c>
      <c r="CK2" s="170" t="s">
        <v>413</v>
      </c>
      <c r="CL2" s="170" t="s">
        <v>413</v>
      </c>
      <c r="CM2" s="170" t="s">
        <v>413</v>
      </c>
      <c r="CN2" s="170"/>
      <c r="CO2" s="170"/>
      <c r="CP2" s="170" t="s">
        <v>413</v>
      </c>
      <c r="CQ2" s="170" t="s">
        <v>413</v>
      </c>
      <c r="CR2" s="170" t="s">
        <v>413</v>
      </c>
      <c r="CS2" s="170" t="s">
        <v>413</v>
      </c>
      <c r="CT2" s="170" t="s">
        <v>413</v>
      </c>
      <c r="CU2" s="170" t="s">
        <v>413</v>
      </c>
      <c r="CV2" s="170" t="s">
        <v>413</v>
      </c>
      <c r="CW2" s="170" t="s">
        <v>413</v>
      </c>
      <c r="CX2" s="170" t="s">
        <v>413</v>
      </c>
      <c r="CY2" s="170" t="s">
        <v>413</v>
      </c>
      <c r="CZ2" s="170" t="s">
        <v>413</v>
      </c>
      <c r="DA2" s="170" t="s">
        <v>413</v>
      </c>
      <c r="DB2" s="170" t="s">
        <v>413</v>
      </c>
      <c r="DC2" s="170" t="s">
        <v>413</v>
      </c>
      <c r="DD2" s="170" t="s">
        <v>413</v>
      </c>
      <c r="DE2" s="170" t="s">
        <v>413</v>
      </c>
      <c r="DF2" s="170" t="s">
        <v>413</v>
      </c>
      <c r="DG2" s="170" t="s">
        <v>413</v>
      </c>
      <c r="DH2" s="170" t="s">
        <v>413</v>
      </c>
      <c r="DI2" s="170" t="s">
        <v>413</v>
      </c>
      <c r="DJ2" s="170" t="s">
        <v>413</v>
      </c>
      <c r="DK2" s="170" t="s">
        <v>413</v>
      </c>
      <c r="DL2" s="170" t="s">
        <v>413</v>
      </c>
      <c r="DM2" s="170" t="s">
        <v>413</v>
      </c>
      <c r="DN2" s="170" t="s">
        <v>413</v>
      </c>
      <c r="DO2" s="170" t="s">
        <v>413</v>
      </c>
      <c r="DP2" s="170" t="s">
        <v>413</v>
      </c>
      <c r="DQ2" s="170" t="s">
        <v>413</v>
      </c>
      <c r="DR2" s="170" t="s">
        <v>413</v>
      </c>
      <c r="DS2" s="170" t="s">
        <v>413</v>
      </c>
      <c r="DT2" s="170" t="s">
        <v>413</v>
      </c>
      <c r="DU2" s="170" t="s">
        <v>413</v>
      </c>
      <c r="DV2" s="170" t="s">
        <v>413</v>
      </c>
      <c r="DW2" s="170" t="s">
        <v>413</v>
      </c>
      <c r="DX2" s="170" t="s">
        <v>413</v>
      </c>
      <c r="DY2" s="170" t="s">
        <v>413</v>
      </c>
    </row>
    <row r="3" spans="2:76" ht="12.75">
      <c r="B3" s="176"/>
      <c r="O3" s="171" t="s">
        <v>1326</v>
      </c>
      <c r="P3" s="172" t="s">
        <v>1353</v>
      </c>
      <c r="Q3" s="171" t="s">
        <v>332</v>
      </c>
      <c r="R3" s="171" t="s">
        <v>1357</v>
      </c>
      <c r="S3" s="173">
        <v>3</v>
      </c>
      <c r="Z3" s="172" t="s">
        <v>9</v>
      </c>
      <c r="AB3" s="172" t="s">
        <v>10</v>
      </c>
      <c r="AC3" s="177"/>
      <c r="AD3" s="177" t="s">
        <v>11</v>
      </c>
      <c r="AE3" s="177"/>
      <c r="AF3" s="177" t="s">
        <v>12</v>
      </c>
      <c r="AG3" s="177"/>
      <c r="AH3" s="177" t="s">
        <v>13</v>
      </c>
      <c r="AI3" s="177"/>
      <c r="AJ3" s="177" t="s">
        <v>14</v>
      </c>
      <c r="AK3" s="177"/>
      <c r="AL3" s="177" t="s">
        <v>15</v>
      </c>
      <c r="AM3" s="177"/>
      <c r="AN3" s="177" t="s">
        <v>1358</v>
      </c>
      <c r="AO3" s="177"/>
      <c r="AP3" s="177" t="s">
        <v>16</v>
      </c>
      <c r="AQ3" s="177"/>
      <c r="AR3" s="177" t="s">
        <v>17</v>
      </c>
      <c r="AT3" s="172" t="s">
        <v>18</v>
      </c>
      <c r="AV3" s="172" t="s">
        <v>19</v>
      </c>
      <c r="AX3" s="172" t="s">
        <v>20</v>
      </c>
      <c r="AZ3" s="172" t="s">
        <v>21</v>
      </c>
      <c r="BB3" s="172" t="s">
        <v>22</v>
      </c>
      <c r="BD3" s="177" t="s">
        <v>23</v>
      </c>
      <c r="BF3" s="177" t="s">
        <v>24</v>
      </c>
      <c r="BH3" s="177" t="s">
        <v>25</v>
      </c>
      <c r="BJ3" s="172" t="s">
        <v>26</v>
      </c>
      <c r="BL3" s="172" t="s">
        <v>27</v>
      </c>
      <c r="BN3" s="172" t="s">
        <v>28</v>
      </c>
      <c r="BP3" s="172" t="s">
        <v>29</v>
      </c>
      <c r="BR3" s="172" t="s">
        <v>30</v>
      </c>
      <c r="BT3" s="172" t="s">
        <v>31</v>
      </c>
      <c r="BV3" s="172" t="s">
        <v>32</v>
      </c>
      <c r="BX3" s="172" t="s">
        <v>33</v>
      </c>
    </row>
    <row r="4" spans="2:129" ht="15.75">
      <c r="B4" s="48" t="s">
        <v>274</v>
      </c>
      <c r="O4" s="171" t="s">
        <v>1326</v>
      </c>
      <c r="P4" s="172" t="s">
        <v>1353</v>
      </c>
      <c r="Q4" s="171" t="s">
        <v>1359</v>
      </c>
      <c r="R4" s="171" t="s">
        <v>1360</v>
      </c>
      <c r="S4" s="173">
        <v>4</v>
      </c>
      <c r="U4" s="172" t="s">
        <v>1361</v>
      </c>
      <c r="V4" s="172" t="s">
        <v>269</v>
      </c>
      <c r="W4" s="172" t="s">
        <v>1362</v>
      </c>
      <c r="X4" s="172" t="s">
        <v>268</v>
      </c>
      <c r="Y4" s="172" t="s">
        <v>412</v>
      </c>
      <c r="Z4" s="172" t="s">
        <v>1363</v>
      </c>
      <c r="AA4" s="172" t="s">
        <v>1364</v>
      </c>
      <c r="AB4" s="172" t="s">
        <v>1363</v>
      </c>
      <c r="AC4" s="177" t="s">
        <v>1364</v>
      </c>
      <c r="AD4" s="177" t="s">
        <v>1363</v>
      </c>
      <c r="AE4" s="177" t="s">
        <v>1364</v>
      </c>
      <c r="AF4" s="177" t="s">
        <v>1363</v>
      </c>
      <c r="AG4" s="177" t="s">
        <v>1364</v>
      </c>
      <c r="AH4" s="177" t="s">
        <v>1363</v>
      </c>
      <c r="AI4" s="177" t="s">
        <v>1364</v>
      </c>
      <c r="AJ4" s="177" t="s">
        <v>1363</v>
      </c>
      <c r="AK4" s="177" t="s">
        <v>1364</v>
      </c>
      <c r="AL4" s="177" t="s">
        <v>1363</v>
      </c>
      <c r="AM4" s="177" t="s">
        <v>1364</v>
      </c>
      <c r="AN4" s="177" t="s">
        <v>1363</v>
      </c>
      <c r="AO4" s="177" t="s">
        <v>1364</v>
      </c>
      <c r="AP4" s="177" t="s">
        <v>1363</v>
      </c>
      <c r="AQ4" s="177" t="s">
        <v>1364</v>
      </c>
      <c r="AR4" s="177" t="s">
        <v>1363</v>
      </c>
      <c r="AS4" s="172" t="s">
        <v>1364</v>
      </c>
      <c r="AT4" s="172" t="s">
        <v>1363</v>
      </c>
      <c r="AU4" s="172" t="s">
        <v>1364</v>
      </c>
      <c r="AV4" s="172" t="s">
        <v>1363</v>
      </c>
      <c r="AW4" s="172" t="s">
        <v>1364</v>
      </c>
      <c r="AX4" s="172" t="s">
        <v>1363</v>
      </c>
      <c r="AY4" s="172" t="s">
        <v>1364</v>
      </c>
      <c r="AZ4" s="172" t="s">
        <v>1363</v>
      </c>
      <c r="BA4" s="172" t="s">
        <v>1364</v>
      </c>
      <c r="BB4" s="172" t="s">
        <v>1363</v>
      </c>
      <c r="BC4" s="172" t="s">
        <v>1364</v>
      </c>
      <c r="BD4" s="177" t="s">
        <v>1363</v>
      </c>
      <c r="BE4" s="177" t="s">
        <v>1364</v>
      </c>
      <c r="BF4" s="177" t="s">
        <v>1363</v>
      </c>
      <c r="BG4" s="177" t="s">
        <v>1364</v>
      </c>
      <c r="BH4" s="177" t="s">
        <v>1363</v>
      </c>
      <c r="BI4" s="172" t="s">
        <v>1364</v>
      </c>
      <c r="BJ4" s="172" t="s">
        <v>1363</v>
      </c>
      <c r="BK4" s="172" t="s">
        <v>1364</v>
      </c>
      <c r="BL4" s="172" t="s">
        <v>1363</v>
      </c>
      <c r="BM4" s="172" t="s">
        <v>1364</v>
      </c>
      <c r="BN4" s="172" t="s">
        <v>1363</v>
      </c>
      <c r="BO4" s="172" t="s">
        <v>1364</v>
      </c>
      <c r="BP4" s="172" t="s">
        <v>1363</v>
      </c>
      <c r="BQ4" s="172" t="s">
        <v>1364</v>
      </c>
      <c r="BR4" s="172" t="s">
        <v>1363</v>
      </c>
      <c r="BS4" s="172" t="s">
        <v>1364</v>
      </c>
      <c r="BT4" s="172" t="s">
        <v>1363</v>
      </c>
      <c r="BU4" s="172" t="s">
        <v>1364</v>
      </c>
      <c r="BV4" s="172" t="s">
        <v>1363</v>
      </c>
      <c r="BW4" s="172" t="s">
        <v>1364</v>
      </c>
      <c r="BX4" s="172" t="s">
        <v>1363</v>
      </c>
      <c r="BY4" s="172" t="s">
        <v>1364</v>
      </c>
      <c r="BZ4" s="170" t="s">
        <v>1365</v>
      </c>
      <c r="CA4" s="170" t="s">
        <v>1366</v>
      </c>
      <c r="CB4" s="170" t="s">
        <v>1367</v>
      </c>
      <c r="CC4" s="178" t="s">
        <v>1368</v>
      </c>
      <c r="CD4" s="178" t="s">
        <v>1369</v>
      </c>
      <c r="CE4" s="178" t="s">
        <v>1370</v>
      </c>
      <c r="CF4" s="178" t="s">
        <v>1371</v>
      </c>
      <c r="CG4" s="178" t="s">
        <v>1372</v>
      </c>
      <c r="CH4" s="178" t="s">
        <v>1373</v>
      </c>
      <c r="CI4" s="178" t="s">
        <v>1374</v>
      </c>
      <c r="CJ4" s="178" t="s">
        <v>1375</v>
      </c>
      <c r="CK4" s="178" t="s">
        <v>1376</v>
      </c>
      <c r="CL4" s="178" t="s">
        <v>1377</v>
      </c>
      <c r="CM4" s="178" t="s">
        <v>1378</v>
      </c>
      <c r="CN4" s="178" t="s">
        <v>1379</v>
      </c>
      <c r="CO4" s="178" t="s">
        <v>1380</v>
      </c>
      <c r="CP4" s="178" t="s">
        <v>1381</v>
      </c>
      <c r="CQ4" s="178" t="s">
        <v>1382</v>
      </c>
      <c r="CR4" s="178" t="s">
        <v>1383</v>
      </c>
      <c r="CS4" s="168" t="s">
        <v>1384</v>
      </c>
      <c r="CT4" s="168" t="s">
        <v>1385</v>
      </c>
      <c r="CU4" s="168" t="s">
        <v>1386</v>
      </c>
      <c r="CV4" s="168" t="s">
        <v>1387</v>
      </c>
      <c r="CW4" s="168" t="s">
        <v>1388</v>
      </c>
      <c r="CX4" s="168" t="s">
        <v>1389</v>
      </c>
      <c r="CY4" s="168" t="s">
        <v>1390</v>
      </c>
      <c r="CZ4" s="168" t="s">
        <v>1391</v>
      </c>
      <c r="DA4" s="168" t="s">
        <v>1392</v>
      </c>
      <c r="DB4" s="168" t="s">
        <v>1393</v>
      </c>
      <c r="DC4" s="168" t="s">
        <v>1394</v>
      </c>
      <c r="DD4" s="179" t="s">
        <v>1395</v>
      </c>
      <c r="DE4" s="179" t="s">
        <v>1396</v>
      </c>
      <c r="DF4" s="179" t="s">
        <v>1397</v>
      </c>
      <c r="DG4" s="179" t="s">
        <v>1398</v>
      </c>
      <c r="DH4" s="179" t="s">
        <v>1399</v>
      </c>
      <c r="DI4" s="168" t="s">
        <v>1400</v>
      </c>
      <c r="DJ4" s="168" t="s">
        <v>1401</v>
      </c>
      <c r="DK4" s="168" t="s">
        <v>1402</v>
      </c>
      <c r="DL4" s="168" t="s">
        <v>1403</v>
      </c>
      <c r="DM4" s="168" t="s">
        <v>1404</v>
      </c>
      <c r="DN4" s="168" t="s">
        <v>1405</v>
      </c>
      <c r="DO4" s="168" t="s">
        <v>1406</v>
      </c>
      <c r="DP4" s="168" t="s">
        <v>1407</v>
      </c>
      <c r="DQ4" s="168" t="s">
        <v>1408</v>
      </c>
      <c r="DR4" s="168" t="s">
        <v>1409</v>
      </c>
      <c r="DS4" s="168" t="s">
        <v>1410</v>
      </c>
      <c r="DT4" s="168" t="s">
        <v>1411</v>
      </c>
      <c r="DU4" s="168" t="s">
        <v>1412</v>
      </c>
      <c r="DV4" s="168" t="s">
        <v>1413</v>
      </c>
      <c r="DW4" s="168" t="s">
        <v>1414</v>
      </c>
      <c r="DX4" s="168" t="s">
        <v>1415</v>
      </c>
      <c r="DY4" s="168" t="s">
        <v>1416</v>
      </c>
    </row>
    <row r="5" spans="1:129" ht="12.75">
      <c r="A5" s="180"/>
      <c r="B5" s="176"/>
      <c r="L5" s="8"/>
      <c r="M5" s="5" t="s">
        <v>1622</v>
      </c>
      <c r="O5" s="171" t="s">
        <v>1326</v>
      </c>
      <c r="P5" s="172" t="s">
        <v>1353</v>
      </c>
      <c r="Q5" s="171" t="s">
        <v>1417</v>
      </c>
      <c r="R5" s="171" t="s">
        <v>1418</v>
      </c>
      <c r="S5" s="173">
        <v>5</v>
      </c>
      <c r="U5" s="179" t="s">
        <v>1326</v>
      </c>
      <c r="V5" s="179" t="s">
        <v>1353</v>
      </c>
      <c r="W5" s="179" t="s">
        <v>1355</v>
      </c>
      <c r="X5" s="179">
        <v>1</v>
      </c>
      <c r="Y5" s="179" t="s">
        <v>1419</v>
      </c>
      <c r="Z5" s="113">
        <v>0</v>
      </c>
      <c r="AA5" s="113">
        <v>0</v>
      </c>
      <c r="AB5" s="113">
        <v>0</v>
      </c>
      <c r="AC5" s="113">
        <v>0</v>
      </c>
      <c r="AD5" s="113">
        <v>0</v>
      </c>
      <c r="AE5" s="113">
        <v>0</v>
      </c>
      <c r="AF5" s="113">
        <v>0</v>
      </c>
      <c r="AG5" s="113">
        <v>0</v>
      </c>
      <c r="AH5" s="113">
        <v>0</v>
      </c>
      <c r="AI5" s="113">
        <v>0</v>
      </c>
      <c r="AJ5" s="113">
        <v>0</v>
      </c>
      <c r="AK5" s="113">
        <v>0</v>
      </c>
      <c r="AL5" s="113">
        <v>0</v>
      </c>
      <c r="AM5" s="113">
        <v>0</v>
      </c>
      <c r="AN5" s="113">
        <v>0</v>
      </c>
      <c r="AO5" s="113">
        <v>0</v>
      </c>
      <c r="AP5" s="113">
        <v>0</v>
      </c>
      <c r="AQ5" s="113">
        <v>0</v>
      </c>
      <c r="AR5" s="113">
        <v>29</v>
      </c>
      <c r="AS5" s="113">
        <v>6</v>
      </c>
      <c r="AT5" s="113">
        <v>0</v>
      </c>
      <c r="AU5" s="113">
        <v>0</v>
      </c>
      <c r="AV5" s="113">
        <v>0</v>
      </c>
      <c r="AW5" s="113">
        <v>0</v>
      </c>
      <c r="AX5" s="113">
        <v>0</v>
      </c>
      <c r="AY5" s="113">
        <v>0</v>
      </c>
      <c r="AZ5" s="113">
        <v>69</v>
      </c>
      <c r="BA5" s="113">
        <v>31</v>
      </c>
      <c r="BB5" s="113">
        <v>0</v>
      </c>
      <c r="BC5" s="113">
        <v>0</v>
      </c>
      <c r="BD5" s="113">
        <v>0</v>
      </c>
      <c r="BE5" s="113">
        <v>0</v>
      </c>
      <c r="BF5" s="113">
        <v>19</v>
      </c>
      <c r="BG5" s="113">
        <v>18</v>
      </c>
      <c r="BH5" s="113">
        <v>53</v>
      </c>
      <c r="BI5" s="113">
        <v>27</v>
      </c>
      <c r="BJ5" s="113">
        <v>1481</v>
      </c>
      <c r="BK5" s="113">
        <v>415</v>
      </c>
      <c r="BL5" s="113">
        <v>0</v>
      </c>
      <c r="BM5" s="113">
        <v>0</v>
      </c>
      <c r="BN5" s="113">
        <v>1</v>
      </c>
      <c r="BO5" s="113">
        <v>0</v>
      </c>
      <c r="BP5" s="113">
        <v>0</v>
      </c>
      <c r="BQ5" s="113">
        <v>0</v>
      </c>
      <c r="BR5" s="113">
        <v>92</v>
      </c>
      <c r="BS5" s="113">
        <v>56</v>
      </c>
      <c r="BT5" s="113">
        <v>39</v>
      </c>
      <c r="BU5" s="113">
        <v>27</v>
      </c>
      <c r="BV5" s="179">
        <v>780</v>
      </c>
      <c r="BW5" s="179">
        <v>137</v>
      </c>
      <c r="BX5" s="179">
        <v>193</v>
      </c>
      <c r="BY5" s="179">
        <v>35</v>
      </c>
      <c r="BZ5" s="181">
        <v>0</v>
      </c>
      <c r="CA5" s="181">
        <v>0</v>
      </c>
      <c r="CB5" s="181">
        <v>0</v>
      </c>
      <c r="CC5" s="181">
        <v>0</v>
      </c>
      <c r="CD5" s="181">
        <v>0</v>
      </c>
      <c r="CE5" s="181">
        <v>0</v>
      </c>
      <c r="CF5" s="181">
        <v>0</v>
      </c>
      <c r="CG5" s="181">
        <v>0</v>
      </c>
      <c r="CH5" s="181">
        <v>0</v>
      </c>
      <c r="CI5" s="181">
        <v>0</v>
      </c>
      <c r="CJ5" s="181">
        <v>0</v>
      </c>
      <c r="CK5" s="181">
        <v>0</v>
      </c>
      <c r="CL5" s="181">
        <v>0</v>
      </c>
      <c r="CM5" s="181">
        <v>0</v>
      </c>
      <c r="CN5" s="181">
        <v>0</v>
      </c>
      <c r="CO5" s="181">
        <v>0</v>
      </c>
      <c r="CP5" s="181">
        <v>0</v>
      </c>
      <c r="CQ5" s="181">
        <v>0</v>
      </c>
      <c r="CR5" s="181">
        <v>5</v>
      </c>
      <c r="CS5" s="181">
        <v>5</v>
      </c>
      <c r="CT5" s="181">
        <v>0</v>
      </c>
      <c r="CU5" s="181">
        <v>0</v>
      </c>
      <c r="CV5" s="181">
        <v>0</v>
      </c>
      <c r="CW5" s="181">
        <v>0</v>
      </c>
      <c r="CX5" s="181">
        <v>0</v>
      </c>
      <c r="CY5" s="181">
        <v>0</v>
      </c>
      <c r="CZ5" s="181">
        <v>5</v>
      </c>
      <c r="DA5" s="181">
        <v>2</v>
      </c>
      <c r="DB5" s="181">
        <v>0</v>
      </c>
      <c r="DC5" s="181">
        <v>0</v>
      </c>
      <c r="DD5" s="181">
        <v>0</v>
      </c>
      <c r="DE5" s="181">
        <v>0</v>
      </c>
      <c r="DF5" s="181">
        <v>8</v>
      </c>
      <c r="DG5" s="181">
        <v>4</v>
      </c>
      <c r="DH5" s="181">
        <v>2</v>
      </c>
      <c r="DI5" s="181">
        <v>2</v>
      </c>
      <c r="DJ5" s="181">
        <v>6</v>
      </c>
      <c r="DK5" s="181">
        <v>0</v>
      </c>
      <c r="DL5" s="181">
        <v>0</v>
      </c>
      <c r="DM5" s="181">
        <v>0</v>
      </c>
      <c r="DN5" s="181">
        <v>12</v>
      </c>
      <c r="DO5" s="181">
        <v>0</v>
      </c>
      <c r="DP5" s="181">
        <v>0</v>
      </c>
      <c r="DQ5" s="181">
        <v>0</v>
      </c>
      <c r="DR5" s="181">
        <v>1</v>
      </c>
      <c r="DS5" s="181">
        <v>0</v>
      </c>
      <c r="DT5" s="181">
        <v>2</v>
      </c>
      <c r="DU5" s="181">
        <v>0</v>
      </c>
      <c r="DV5" s="181">
        <v>7</v>
      </c>
      <c r="DW5" s="181">
        <v>0</v>
      </c>
      <c r="DX5" s="181">
        <v>0</v>
      </c>
      <c r="DY5" s="181">
        <v>0</v>
      </c>
    </row>
    <row r="6" spans="2:129" ht="14.25" thickBot="1">
      <c r="B6" s="176"/>
      <c r="L6" s="167"/>
      <c r="O6" s="171" t="s">
        <v>1326</v>
      </c>
      <c r="P6" s="172" t="s">
        <v>1353</v>
      </c>
      <c r="Q6" s="171" t="s">
        <v>1420</v>
      </c>
      <c r="R6" s="171" t="s">
        <v>1421</v>
      </c>
      <c r="S6" s="173">
        <v>6</v>
      </c>
      <c r="U6" s="179" t="s">
        <v>1326</v>
      </c>
      <c r="V6" s="179" t="s">
        <v>1353</v>
      </c>
      <c r="W6" s="179" t="s">
        <v>318</v>
      </c>
      <c r="X6" s="179">
        <v>2</v>
      </c>
      <c r="Y6" s="179" t="s">
        <v>1422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3">
        <v>29</v>
      </c>
      <c r="AG6" s="113">
        <v>22</v>
      </c>
      <c r="AH6" s="113">
        <v>0</v>
      </c>
      <c r="AI6" s="113">
        <v>0</v>
      </c>
      <c r="AJ6" s="113">
        <v>0</v>
      </c>
      <c r="AK6" s="113">
        <v>0</v>
      </c>
      <c r="AL6" s="113">
        <v>0</v>
      </c>
      <c r="AM6" s="113">
        <v>0</v>
      </c>
      <c r="AN6" s="113">
        <v>0</v>
      </c>
      <c r="AO6" s="113">
        <v>0</v>
      </c>
      <c r="AP6" s="113">
        <v>1</v>
      </c>
      <c r="AQ6" s="113">
        <v>0</v>
      </c>
      <c r="AR6" s="113">
        <v>1</v>
      </c>
      <c r="AS6" s="113">
        <v>0</v>
      </c>
      <c r="AT6" s="113">
        <v>0</v>
      </c>
      <c r="AU6" s="113">
        <v>0</v>
      </c>
      <c r="AV6" s="113">
        <v>1</v>
      </c>
      <c r="AW6" s="113">
        <v>10</v>
      </c>
      <c r="AX6" s="113">
        <v>0</v>
      </c>
      <c r="AY6" s="113">
        <v>0</v>
      </c>
      <c r="AZ6" s="113">
        <v>0</v>
      </c>
      <c r="BA6" s="113">
        <v>0</v>
      </c>
      <c r="BB6" s="113">
        <v>0</v>
      </c>
      <c r="BC6" s="113">
        <v>0</v>
      </c>
      <c r="BD6" s="113">
        <v>0</v>
      </c>
      <c r="BE6" s="113">
        <v>0</v>
      </c>
      <c r="BF6" s="113">
        <v>0</v>
      </c>
      <c r="BG6" s="113">
        <v>0</v>
      </c>
      <c r="BH6" s="113">
        <v>43</v>
      </c>
      <c r="BI6" s="113">
        <v>41</v>
      </c>
      <c r="BJ6" s="113">
        <v>0</v>
      </c>
      <c r="BK6" s="113">
        <v>0</v>
      </c>
      <c r="BL6" s="113">
        <v>0</v>
      </c>
      <c r="BM6" s="113">
        <v>0</v>
      </c>
      <c r="BN6" s="113">
        <v>0</v>
      </c>
      <c r="BO6" s="113">
        <v>0</v>
      </c>
      <c r="BP6" s="113">
        <v>0</v>
      </c>
      <c r="BQ6" s="113">
        <v>0</v>
      </c>
      <c r="BR6" s="113">
        <v>0</v>
      </c>
      <c r="BS6" s="113">
        <v>0</v>
      </c>
      <c r="BT6" s="113">
        <v>0</v>
      </c>
      <c r="BU6" s="113">
        <v>0</v>
      </c>
      <c r="BV6" s="179">
        <v>0</v>
      </c>
      <c r="BW6" s="179">
        <v>0</v>
      </c>
      <c r="BX6" s="179">
        <v>336</v>
      </c>
      <c r="BY6" s="179">
        <v>68</v>
      </c>
      <c r="BZ6" s="181">
        <v>0</v>
      </c>
      <c r="CA6" s="181">
        <v>0</v>
      </c>
      <c r="CB6" s="181">
        <v>0</v>
      </c>
      <c r="CC6" s="181">
        <v>0</v>
      </c>
      <c r="CD6" s="181">
        <v>0</v>
      </c>
      <c r="CE6" s="181">
        <v>0</v>
      </c>
      <c r="CF6" s="181">
        <v>10</v>
      </c>
      <c r="CG6" s="181">
        <v>5</v>
      </c>
      <c r="CH6" s="181">
        <v>0</v>
      </c>
      <c r="CI6" s="181">
        <v>0</v>
      </c>
      <c r="CJ6" s="181">
        <v>0</v>
      </c>
      <c r="CK6" s="181">
        <v>0</v>
      </c>
      <c r="CL6" s="181">
        <v>0</v>
      </c>
      <c r="CM6" s="181">
        <v>0</v>
      </c>
      <c r="CN6" s="181">
        <v>0</v>
      </c>
      <c r="CO6" s="181">
        <v>0</v>
      </c>
      <c r="CP6" s="181">
        <v>6</v>
      </c>
      <c r="CQ6" s="181">
        <v>0</v>
      </c>
      <c r="CR6" s="181">
        <v>5</v>
      </c>
      <c r="CS6" s="181">
        <v>0</v>
      </c>
      <c r="CT6" s="181">
        <v>0</v>
      </c>
      <c r="CU6" s="181">
        <v>0</v>
      </c>
      <c r="CV6" s="181">
        <v>0</v>
      </c>
      <c r="CW6" s="181">
        <v>0</v>
      </c>
      <c r="CX6" s="181">
        <v>0</v>
      </c>
      <c r="CY6" s="181">
        <v>0</v>
      </c>
      <c r="CZ6" s="181">
        <v>0</v>
      </c>
      <c r="DA6" s="181">
        <v>0</v>
      </c>
      <c r="DB6" s="181">
        <v>0</v>
      </c>
      <c r="DC6" s="181">
        <v>0</v>
      </c>
      <c r="DD6" s="181">
        <v>0</v>
      </c>
      <c r="DE6" s="181">
        <v>0</v>
      </c>
      <c r="DF6" s="181">
        <v>0</v>
      </c>
      <c r="DG6" s="181">
        <v>0</v>
      </c>
      <c r="DH6" s="181">
        <v>6</v>
      </c>
      <c r="DI6" s="181">
        <v>0</v>
      </c>
      <c r="DJ6" s="181">
        <v>0</v>
      </c>
      <c r="DK6" s="181">
        <v>0</v>
      </c>
      <c r="DL6" s="181">
        <v>0</v>
      </c>
      <c r="DM6" s="181">
        <v>0</v>
      </c>
      <c r="DN6" s="181">
        <v>0</v>
      </c>
      <c r="DO6" s="181">
        <v>0</v>
      </c>
      <c r="DP6" s="181">
        <v>0</v>
      </c>
      <c r="DQ6" s="181">
        <v>0</v>
      </c>
      <c r="DR6" s="181">
        <v>0</v>
      </c>
      <c r="DS6" s="181">
        <v>0</v>
      </c>
      <c r="DT6" s="181">
        <v>0</v>
      </c>
      <c r="DU6" s="181">
        <v>0</v>
      </c>
      <c r="DV6" s="181">
        <v>0</v>
      </c>
      <c r="DW6" s="181">
        <v>0</v>
      </c>
      <c r="DX6" s="181">
        <v>0</v>
      </c>
      <c r="DY6" s="181">
        <v>0</v>
      </c>
    </row>
    <row r="7" spans="2:129" ht="13.5"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8"/>
      <c r="M7" s="229"/>
      <c r="O7" s="171" t="s">
        <v>1326</v>
      </c>
      <c r="P7" s="172" t="s">
        <v>1353</v>
      </c>
      <c r="Q7" s="171" t="s">
        <v>1423</v>
      </c>
      <c r="R7" s="171" t="s">
        <v>1424</v>
      </c>
      <c r="S7" s="173">
        <v>7</v>
      </c>
      <c r="U7" s="179" t="s">
        <v>1326</v>
      </c>
      <c r="V7" s="179" t="s">
        <v>1353</v>
      </c>
      <c r="W7" s="179" t="s">
        <v>332</v>
      </c>
      <c r="X7" s="179">
        <v>3</v>
      </c>
      <c r="Y7" s="179" t="s">
        <v>1425</v>
      </c>
      <c r="Z7" s="113">
        <v>0</v>
      </c>
      <c r="AA7" s="113">
        <v>0</v>
      </c>
      <c r="AB7" s="113">
        <v>4878</v>
      </c>
      <c r="AC7" s="113">
        <v>678</v>
      </c>
      <c r="AD7" s="113">
        <v>1705</v>
      </c>
      <c r="AE7" s="113">
        <v>556</v>
      </c>
      <c r="AF7" s="113">
        <v>178</v>
      </c>
      <c r="AG7" s="113">
        <v>39</v>
      </c>
      <c r="AH7" s="113">
        <v>283</v>
      </c>
      <c r="AI7" s="113">
        <v>96</v>
      </c>
      <c r="AJ7" s="113">
        <v>605</v>
      </c>
      <c r="AK7" s="113">
        <v>220</v>
      </c>
      <c r="AL7" s="113">
        <v>185</v>
      </c>
      <c r="AM7" s="113">
        <v>59</v>
      </c>
      <c r="AN7" s="113">
        <v>102</v>
      </c>
      <c r="AO7" s="113">
        <v>39</v>
      </c>
      <c r="AP7" s="113">
        <v>536</v>
      </c>
      <c r="AQ7" s="113">
        <v>144</v>
      </c>
      <c r="AR7" s="113">
        <v>1928</v>
      </c>
      <c r="AS7" s="113">
        <v>425</v>
      </c>
      <c r="AT7" s="113">
        <v>386</v>
      </c>
      <c r="AU7" s="113">
        <v>155</v>
      </c>
      <c r="AV7" s="113">
        <v>1415</v>
      </c>
      <c r="AW7" s="113">
        <v>478</v>
      </c>
      <c r="AX7" s="113">
        <v>470</v>
      </c>
      <c r="AY7" s="113">
        <v>140</v>
      </c>
      <c r="AZ7" s="113">
        <v>303</v>
      </c>
      <c r="BA7" s="113">
        <v>94</v>
      </c>
      <c r="BB7" s="113">
        <v>0</v>
      </c>
      <c r="BC7" s="113">
        <v>0</v>
      </c>
      <c r="BD7" s="113">
        <v>0</v>
      </c>
      <c r="BE7" s="113">
        <v>0</v>
      </c>
      <c r="BF7" s="113">
        <v>275</v>
      </c>
      <c r="BG7" s="113">
        <v>98</v>
      </c>
      <c r="BH7" s="113">
        <v>1651</v>
      </c>
      <c r="BI7" s="113">
        <v>376</v>
      </c>
      <c r="BJ7" s="113">
        <v>1206</v>
      </c>
      <c r="BK7" s="113">
        <v>261</v>
      </c>
      <c r="BL7" s="113">
        <v>269</v>
      </c>
      <c r="BM7" s="113">
        <v>97</v>
      </c>
      <c r="BN7" s="113">
        <v>86</v>
      </c>
      <c r="BO7" s="113">
        <v>0</v>
      </c>
      <c r="BP7" s="113">
        <v>5</v>
      </c>
      <c r="BQ7" s="113">
        <v>0</v>
      </c>
      <c r="BR7" s="113">
        <v>332</v>
      </c>
      <c r="BS7" s="113">
        <v>100</v>
      </c>
      <c r="BT7" s="113">
        <v>46</v>
      </c>
      <c r="BU7" s="113">
        <v>10</v>
      </c>
      <c r="BV7" s="179">
        <v>247</v>
      </c>
      <c r="BW7" s="179">
        <v>63</v>
      </c>
      <c r="BX7" s="179">
        <v>606</v>
      </c>
      <c r="BY7" s="179">
        <v>149</v>
      </c>
      <c r="BZ7" s="181">
        <v>0</v>
      </c>
      <c r="CA7" s="181">
        <v>0</v>
      </c>
      <c r="CB7" s="181">
        <v>0</v>
      </c>
      <c r="CC7" s="181">
        <v>0</v>
      </c>
      <c r="CD7" s="181">
        <v>5</v>
      </c>
      <c r="CE7" s="181">
        <v>2</v>
      </c>
      <c r="CF7" s="181">
        <v>11</v>
      </c>
      <c r="CG7" s="181">
        <v>7</v>
      </c>
      <c r="CH7" s="181">
        <v>6</v>
      </c>
      <c r="CI7" s="181">
        <v>4</v>
      </c>
      <c r="CJ7" s="181">
        <v>5</v>
      </c>
      <c r="CK7" s="181">
        <v>5</v>
      </c>
      <c r="CL7" s="181">
        <v>7</v>
      </c>
      <c r="CM7" s="181">
        <v>5</v>
      </c>
      <c r="CN7" s="181">
        <v>6</v>
      </c>
      <c r="CO7" s="181">
        <v>2</v>
      </c>
      <c r="CP7" s="181">
        <v>10</v>
      </c>
      <c r="CQ7" s="181">
        <v>7</v>
      </c>
      <c r="CR7" s="181">
        <v>5</v>
      </c>
      <c r="CS7" s="181">
        <v>4</v>
      </c>
      <c r="CT7" s="181">
        <v>6</v>
      </c>
      <c r="CU7" s="181">
        <v>5</v>
      </c>
      <c r="CV7" s="181">
        <v>9</v>
      </c>
      <c r="CW7" s="181">
        <v>0</v>
      </c>
      <c r="CX7" s="181">
        <v>0</v>
      </c>
      <c r="CY7" s="181">
        <v>0</v>
      </c>
      <c r="CZ7" s="181">
        <v>10</v>
      </c>
      <c r="DA7" s="181">
        <v>10</v>
      </c>
      <c r="DB7" s="181">
        <v>0</v>
      </c>
      <c r="DC7" s="181">
        <v>0</v>
      </c>
      <c r="DD7" s="181">
        <v>0</v>
      </c>
      <c r="DE7" s="181">
        <v>0</v>
      </c>
      <c r="DF7" s="181">
        <v>11</v>
      </c>
      <c r="DG7" s="181">
        <v>8</v>
      </c>
      <c r="DH7" s="181">
        <v>11</v>
      </c>
      <c r="DI7" s="181">
        <v>5</v>
      </c>
      <c r="DJ7" s="181">
        <v>7</v>
      </c>
      <c r="DK7" s="181">
        <v>0</v>
      </c>
      <c r="DL7" s="181">
        <v>2</v>
      </c>
      <c r="DM7" s="181">
        <v>2</v>
      </c>
      <c r="DN7" s="181">
        <v>3</v>
      </c>
      <c r="DO7" s="181">
        <v>0</v>
      </c>
      <c r="DP7" s="181">
        <v>5</v>
      </c>
      <c r="DQ7" s="181">
        <v>0</v>
      </c>
      <c r="DR7" s="181">
        <v>1</v>
      </c>
      <c r="DS7" s="181">
        <v>0</v>
      </c>
      <c r="DT7" s="181">
        <v>11</v>
      </c>
      <c r="DU7" s="181">
        <v>9</v>
      </c>
      <c r="DV7" s="181">
        <v>3</v>
      </c>
      <c r="DW7" s="181">
        <v>3</v>
      </c>
      <c r="DX7" s="181">
        <v>12</v>
      </c>
      <c r="DY7" s="181">
        <v>11</v>
      </c>
    </row>
    <row r="8" spans="2:129" ht="13.5">
      <c r="B8" s="230"/>
      <c r="C8" s="182" t="s">
        <v>270</v>
      </c>
      <c r="D8" s="183"/>
      <c r="E8" s="183"/>
      <c r="F8" s="183"/>
      <c r="G8" s="183"/>
      <c r="H8" s="183"/>
      <c r="I8" s="183"/>
      <c r="J8" s="183"/>
      <c r="K8" s="183"/>
      <c r="L8" s="184"/>
      <c r="M8" s="231"/>
      <c r="O8" s="171" t="s">
        <v>1326</v>
      </c>
      <c r="P8" s="172" t="s">
        <v>1353</v>
      </c>
      <c r="Q8" s="171" t="s">
        <v>321</v>
      </c>
      <c r="R8" s="171" t="s">
        <v>322</v>
      </c>
      <c r="S8" s="173">
        <v>8</v>
      </c>
      <c r="U8" s="179" t="s">
        <v>1326</v>
      </c>
      <c r="V8" s="179" t="s">
        <v>1353</v>
      </c>
      <c r="W8" s="179" t="s">
        <v>1359</v>
      </c>
      <c r="X8" s="179">
        <v>4</v>
      </c>
      <c r="Y8" s="179" t="s">
        <v>1426</v>
      </c>
      <c r="Z8" s="113">
        <v>0</v>
      </c>
      <c r="AA8" s="113">
        <v>0</v>
      </c>
      <c r="AB8" s="113">
        <v>3655</v>
      </c>
      <c r="AC8" s="113">
        <v>440</v>
      </c>
      <c r="AD8" s="113">
        <v>2028</v>
      </c>
      <c r="AE8" s="113">
        <v>487</v>
      </c>
      <c r="AF8" s="113">
        <v>28</v>
      </c>
      <c r="AG8" s="113">
        <v>13</v>
      </c>
      <c r="AH8" s="113">
        <v>135</v>
      </c>
      <c r="AI8" s="113">
        <v>30</v>
      </c>
      <c r="AJ8" s="113">
        <v>928</v>
      </c>
      <c r="AK8" s="113">
        <v>258</v>
      </c>
      <c r="AL8" s="113">
        <v>56</v>
      </c>
      <c r="AM8" s="113">
        <v>16</v>
      </c>
      <c r="AN8" s="113">
        <v>50</v>
      </c>
      <c r="AO8" s="113">
        <v>18</v>
      </c>
      <c r="AP8" s="113">
        <v>97</v>
      </c>
      <c r="AQ8" s="113">
        <v>13</v>
      </c>
      <c r="AR8" s="113">
        <v>1615</v>
      </c>
      <c r="AS8" s="113">
        <v>324</v>
      </c>
      <c r="AT8" s="113">
        <v>749</v>
      </c>
      <c r="AU8" s="113">
        <v>247</v>
      </c>
      <c r="AV8" s="113">
        <v>2439</v>
      </c>
      <c r="AW8" s="113">
        <v>598</v>
      </c>
      <c r="AX8" s="113">
        <v>1136</v>
      </c>
      <c r="AY8" s="113">
        <v>230</v>
      </c>
      <c r="AZ8" s="113">
        <v>128</v>
      </c>
      <c r="BA8" s="113">
        <v>36</v>
      </c>
      <c r="BB8" s="113">
        <v>0</v>
      </c>
      <c r="BC8" s="113">
        <v>0</v>
      </c>
      <c r="BD8" s="113">
        <v>0</v>
      </c>
      <c r="BE8" s="113">
        <v>0</v>
      </c>
      <c r="BF8" s="113">
        <v>0</v>
      </c>
      <c r="BG8" s="113">
        <v>0</v>
      </c>
      <c r="BH8" s="113">
        <v>2155</v>
      </c>
      <c r="BI8" s="113">
        <v>456</v>
      </c>
      <c r="BJ8" s="113">
        <v>1599</v>
      </c>
      <c r="BK8" s="113">
        <v>253</v>
      </c>
      <c r="BL8" s="113">
        <v>359</v>
      </c>
      <c r="BM8" s="113">
        <v>81</v>
      </c>
      <c r="BN8" s="113">
        <v>966</v>
      </c>
      <c r="BO8" s="113">
        <v>396</v>
      </c>
      <c r="BP8" s="113">
        <v>170</v>
      </c>
      <c r="BQ8" s="113">
        <v>70</v>
      </c>
      <c r="BR8" s="113">
        <v>1384</v>
      </c>
      <c r="BS8" s="113">
        <v>301</v>
      </c>
      <c r="BT8" s="113">
        <v>223</v>
      </c>
      <c r="BU8" s="113">
        <v>36</v>
      </c>
      <c r="BV8" s="179">
        <v>0</v>
      </c>
      <c r="BW8" s="179">
        <v>0</v>
      </c>
      <c r="BX8" s="179">
        <v>0</v>
      </c>
      <c r="BY8" s="179">
        <v>0</v>
      </c>
      <c r="BZ8" s="181">
        <v>0</v>
      </c>
      <c r="CA8" s="181">
        <v>0</v>
      </c>
      <c r="CB8" s="181">
        <v>12</v>
      </c>
      <c r="CC8" s="181">
        <v>0</v>
      </c>
      <c r="CD8" s="181">
        <v>1</v>
      </c>
      <c r="CE8" s="181">
        <v>0</v>
      </c>
      <c r="CF8" s="181">
        <v>11</v>
      </c>
      <c r="CG8" s="181">
        <v>10</v>
      </c>
      <c r="CH8" s="181">
        <v>4</v>
      </c>
      <c r="CI8" s="181">
        <v>3</v>
      </c>
      <c r="CJ8" s="181">
        <v>4</v>
      </c>
      <c r="CK8" s="181">
        <v>2</v>
      </c>
      <c r="CL8" s="181">
        <v>12</v>
      </c>
      <c r="CM8" s="181">
        <v>12</v>
      </c>
      <c r="CN8" s="181">
        <v>2</v>
      </c>
      <c r="CO8" s="181">
        <v>0</v>
      </c>
      <c r="CP8" s="181">
        <v>5</v>
      </c>
      <c r="CQ8" s="181">
        <v>4</v>
      </c>
      <c r="CR8" s="181">
        <v>0</v>
      </c>
      <c r="CS8" s="181">
        <v>0</v>
      </c>
      <c r="CT8" s="181">
        <v>9</v>
      </c>
      <c r="CU8" s="181">
        <v>0</v>
      </c>
      <c r="CV8" s="181">
        <v>10</v>
      </c>
      <c r="CW8" s="181">
        <v>5</v>
      </c>
      <c r="CX8" s="181">
        <v>7</v>
      </c>
      <c r="CY8" s="181">
        <v>2</v>
      </c>
      <c r="CZ8" s="181">
        <v>0</v>
      </c>
      <c r="DA8" s="181">
        <v>0</v>
      </c>
      <c r="DB8" s="181">
        <v>0</v>
      </c>
      <c r="DC8" s="181">
        <v>0</v>
      </c>
      <c r="DD8" s="181">
        <v>0</v>
      </c>
      <c r="DE8" s="181">
        <v>0</v>
      </c>
      <c r="DF8" s="181">
        <v>0</v>
      </c>
      <c r="DG8" s="181">
        <v>0</v>
      </c>
      <c r="DH8" s="181">
        <v>1</v>
      </c>
      <c r="DI8" s="181">
        <v>0</v>
      </c>
      <c r="DJ8" s="181">
        <v>5</v>
      </c>
      <c r="DK8" s="181">
        <v>5</v>
      </c>
      <c r="DL8" s="181">
        <v>4</v>
      </c>
      <c r="DM8" s="181">
        <v>4</v>
      </c>
      <c r="DN8" s="181">
        <v>9</v>
      </c>
      <c r="DO8" s="181">
        <v>2</v>
      </c>
      <c r="DP8" s="181">
        <v>0</v>
      </c>
      <c r="DQ8" s="181">
        <v>0</v>
      </c>
      <c r="DR8" s="181">
        <v>1</v>
      </c>
      <c r="DS8" s="181">
        <v>0</v>
      </c>
      <c r="DT8" s="181">
        <v>2</v>
      </c>
      <c r="DU8" s="181">
        <v>2</v>
      </c>
      <c r="DV8" s="181">
        <v>0</v>
      </c>
      <c r="DW8" s="181">
        <v>0</v>
      </c>
      <c r="DX8" s="181">
        <v>0</v>
      </c>
      <c r="DY8" s="181">
        <v>0</v>
      </c>
    </row>
    <row r="9" spans="2:129" ht="13.5">
      <c r="B9" s="230"/>
      <c r="C9" s="232" t="s">
        <v>1615</v>
      </c>
      <c r="D9" s="185"/>
      <c r="E9" s="183"/>
      <c r="F9" s="183"/>
      <c r="G9" s="183"/>
      <c r="H9" s="183"/>
      <c r="I9" s="183"/>
      <c r="J9" s="183"/>
      <c r="K9" s="183"/>
      <c r="L9" s="184"/>
      <c r="M9" s="231"/>
      <c r="O9" s="171" t="s">
        <v>1326</v>
      </c>
      <c r="P9" s="172" t="s">
        <v>1353</v>
      </c>
      <c r="Q9" s="171" t="s">
        <v>1427</v>
      </c>
      <c r="R9" s="171" t="s">
        <v>1428</v>
      </c>
      <c r="S9" s="173">
        <v>9</v>
      </c>
      <c r="U9" s="179" t="s">
        <v>1326</v>
      </c>
      <c r="V9" s="179" t="s">
        <v>1353</v>
      </c>
      <c r="W9" s="179" t="s">
        <v>1417</v>
      </c>
      <c r="X9" s="179">
        <v>5</v>
      </c>
      <c r="Y9" s="179" t="s">
        <v>1429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113">
        <v>0</v>
      </c>
      <c r="AK9" s="113">
        <v>0</v>
      </c>
      <c r="AL9" s="113">
        <v>22</v>
      </c>
      <c r="AM9" s="113">
        <v>9</v>
      </c>
      <c r="AN9" s="113">
        <v>0</v>
      </c>
      <c r="AO9" s="113">
        <v>0</v>
      </c>
      <c r="AP9" s="113">
        <v>0</v>
      </c>
      <c r="AQ9" s="113">
        <v>0</v>
      </c>
      <c r="AR9" s="113">
        <v>0</v>
      </c>
      <c r="AS9" s="113">
        <v>0</v>
      </c>
      <c r="AT9" s="113">
        <v>0</v>
      </c>
      <c r="AU9" s="113">
        <v>0</v>
      </c>
      <c r="AV9" s="113">
        <v>11</v>
      </c>
      <c r="AW9" s="113">
        <v>10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</v>
      </c>
      <c r="BF9" s="113">
        <v>0</v>
      </c>
      <c r="BG9" s="113">
        <v>0</v>
      </c>
      <c r="BH9" s="113">
        <v>48</v>
      </c>
      <c r="BI9" s="113">
        <v>34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79">
        <v>0</v>
      </c>
      <c r="BW9" s="179">
        <v>0</v>
      </c>
      <c r="BX9" s="179">
        <v>20</v>
      </c>
      <c r="BY9" s="179">
        <v>18</v>
      </c>
      <c r="BZ9" s="181">
        <v>0</v>
      </c>
      <c r="CA9" s="181">
        <v>0</v>
      </c>
      <c r="CB9" s="181">
        <v>0</v>
      </c>
      <c r="CC9" s="181">
        <v>0</v>
      </c>
      <c r="CD9" s="181">
        <v>0</v>
      </c>
      <c r="CE9" s="181">
        <v>0</v>
      </c>
      <c r="CF9" s="181">
        <v>0</v>
      </c>
      <c r="CG9" s="181">
        <v>0</v>
      </c>
      <c r="CH9" s="181">
        <v>0</v>
      </c>
      <c r="CI9" s="181">
        <v>0</v>
      </c>
      <c r="CJ9" s="181">
        <v>0</v>
      </c>
      <c r="CK9" s="181">
        <v>0</v>
      </c>
      <c r="CL9" s="181">
        <v>10</v>
      </c>
      <c r="CM9" s="181">
        <v>5</v>
      </c>
      <c r="CN9" s="181">
        <v>0</v>
      </c>
      <c r="CO9" s="181">
        <v>0</v>
      </c>
      <c r="CP9" s="181">
        <v>0</v>
      </c>
      <c r="CQ9" s="181">
        <v>0</v>
      </c>
      <c r="CR9" s="181">
        <v>0</v>
      </c>
      <c r="CS9" s="181">
        <v>0</v>
      </c>
      <c r="CT9" s="181">
        <v>0</v>
      </c>
      <c r="CU9" s="181">
        <v>0</v>
      </c>
      <c r="CV9" s="181">
        <v>6</v>
      </c>
      <c r="CW9" s="181">
        <v>4</v>
      </c>
      <c r="CX9" s="181">
        <v>0</v>
      </c>
      <c r="CY9" s="181">
        <v>0</v>
      </c>
      <c r="CZ9" s="181">
        <v>0</v>
      </c>
      <c r="DA9" s="181">
        <v>0</v>
      </c>
      <c r="DB9" s="181">
        <v>0</v>
      </c>
      <c r="DC9" s="181">
        <v>0</v>
      </c>
      <c r="DD9" s="181">
        <v>0</v>
      </c>
      <c r="DE9" s="181">
        <v>0</v>
      </c>
      <c r="DF9" s="181">
        <v>0</v>
      </c>
      <c r="DG9" s="181">
        <v>0</v>
      </c>
      <c r="DH9" s="181">
        <v>12</v>
      </c>
      <c r="DI9" s="181">
        <v>0</v>
      </c>
      <c r="DJ9" s="181">
        <v>0</v>
      </c>
      <c r="DK9" s="181">
        <v>0</v>
      </c>
      <c r="DL9" s="181">
        <v>0</v>
      </c>
      <c r="DM9" s="181">
        <v>0</v>
      </c>
      <c r="DN9" s="181">
        <v>0</v>
      </c>
      <c r="DO9" s="181">
        <v>0</v>
      </c>
      <c r="DP9" s="181">
        <v>0</v>
      </c>
      <c r="DQ9" s="181">
        <v>0</v>
      </c>
      <c r="DR9" s="181">
        <v>0</v>
      </c>
      <c r="DS9" s="181">
        <v>0</v>
      </c>
      <c r="DT9" s="181">
        <v>0</v>
      </c>
      <c r="DU9" s="181">
        <v>0</v>
      </c>
      <c r="DV9" s="181">
        <v>0</v>
      </c>
      <c r="DW9" s="181">
        <v>0</v>
      </c>
      <c r="DX9" s="181">
        <v>2</v>
      </c>
      <c r="DY9" s="181">
        <v>1</v>
      </c>
    </row>
    <row r="10" spans="2:129" ht="13.5">
      <c r="B10" s="233"/>
      <c r="C10" s="185"/>
      <c r="D10" s="185"/>
      <c r="E10" s="185"/>
      <c r="F10" s="183"/>
      <c r="G10" s="183"/>
      <c r="H10" s="186"/>
      <c r="I10" s="183"/>
      <c r="J10" s="183"/>
      <c r="K10" s="183"/>
      <c r="L10" s="184"/>
      <c r="M10" s="231"/>
      <c r="O10" s="171" t="s">
        <v>1326</v>
      </c>
      <c r="P10" s="172" t="s">
        <v>1353</v>
      </c>
      <c r="Q10" s="171" t="s">
        <v>1430</v>
      </c>
      <c r="R10" s="171" t="s">
        <v>1431</v>
      </c>
      <c r="S10" s="173">
        <v>10</v>
      </c>
      <c r="U10" s="179" t="s">
        <v>1326</v>
      </c>
      <c r="V10" s="179" t="s">
        <v>1353</v>
      </c>
      <c r="W10" s="179" t="s">
        <v>1420</v>
      </c>
      <c r="X10" s="179">
        <v>6</v>
      </c>
      <c r="Y10" s="179" t="s">
        <v>1432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>
        <v>0</v>
      </c>
      <c r="AU10" s="113">
        <v>0</v>
      </c>
      <c r="AV10" s="113">
        <v>54</v>
      </c>
      <c r="AW10" s="113">
        <v>0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0</v>
      </c>
      <c r="BG10" s="113">
        <v>0</v>
      </c>
      <c r="BH10" s="113">
        <v>140</v>
      </c>
      <c r="BI10" s="113">
        <v>3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57</v>
      </c>
      <c r="BU10" s="113">
        <v>3</v>
      </c>
      <c r="BV10" s="179">
        <v>66</v>
      </c>
      <c r="BW10" s="179">
        <v>16</v>
      </c>
      <c r="BX10" s="179">
        <v>0</v>
      </c>
      <c r="BY10" s="179">
        <v>0</v>
      </c>
      <c r="BZ10" s="181">
        <v>0</v>
      </c>
      <c r="CA10" s="181">
        <v>0</v>
      </c>
      <c r="CB10" s="181">
        <v>0</v>
      </c>
      <c r="CC10" s="181">
        <v>0</v>
      </c>
      <c r="CD10" s="181">
        <v>0</v>
      </c>
      <c r="CE10" s="181">
        <v>0</v>
      </c>
      <c r="CF10" s="181">
        <v>0</v>
      </c>
      <c r="CG10" s="181">
        <v>0</v>
      </c>
      <c r="CH10" s="181">
        <v>0</v>
      </c>
      <c r="CI10" s="181">
        <v>0</v>
      </c>
      <c r="CJ10" s="181">
        <v>0</v>
      </c>
      <c r="CK10" s="181">
        <v>0</v>
      </c>
      <c r="CL10" s="181">
        <v>0</v>
      </c>
      <c r="CM10" s="181">
        <v>0</v>
      </c>
      <c r="CN10" s="181">
        <v>0</v>
      </c>
      <c r="CO10" s="181">
        <v>0</v>
      </c>
      <c r="CP10" s="181">
        <v>0</v>
      </c>
      <c r="CQ10" s="181">
        <v>0</v>
      </c>
      <c r="CR10" s="181">
        <v>0</v>
      </c>
      <c r="CS10" s="181">
        <v>0</v>
      </c>
      <c r="CT10" s="181">
        <v>0</v>
      </c>
      <c r="CU10" s="181">
        <v>0</v>
      </c>
      <c r="CV10" s="181">
        <v>12</v>
      </c>
      <c r="CW10" s="181">
        <v>0</v>
      </c>
      <c r="CX10" s="181">
        <v>0</v>
      </c>
      <c r="CY10" s="181">
        <v>0</v>
      </c>
      <c r="CZ10" s="181">
        <v>0</v>
      </c>
      <c r="DA10" s="181">
        <v>0</v>
      </c>
      <c r="DB10" s="181">
        <v>0</v>
      </c>
      <c r="DC10" s="181">
        <v>0</v>
      </c>
      <c r="DD10" s="181">
        <v>0</v>
      </c>
      <c r="DE10" s="181">
        <v>0</v>
      </c>
      <c r="DF10" s="181">
        <v>0</v>
      </c>
      <c r="DG10" s="181">
        <v>0</v>
      </c>
      <c r="DH10" s="181">
        <v>1</v>
      </c>
      <c r="DI10" s="181">
        <v>0</v>
      </c>
      <c r="DJ10" s="181">
        <v>0</v>
      </c>
      <c r="DK10" s="181">
        <v>0</v>
      </c>
      <c r="DL10" s="181">
        <v>0</v>
      </c>
      <c r="DM10" s="181">
        <v>0</v>
      </c>
      <c r="DN10" s="181">
        <v>0</v>
      </c>
      <c r="DO10" s="181">
        <v>0</v>
      </c>
      <c r="DP10" s="181">
        <v>0</v>
      </c>
      <c r="DQ10" s="181">
        <v>0</v>
      </c>
      <c r="DR10" s="181">
        <v>0</v>
      </c>
      <c r="DS10" s="181">
        <v>0</v>
      </c>
      <c r="DT10" s="181">
        <v>12</v>
      </c>
      <c r="DU10" s="181">
        <v>10</v>
      </c>
      <c r="DV10" s="181">
        <v>2</v>
      </c>
      <c r="DW10" s="181">
        <v>1</v>
      </c>
      <c r="DX10" s="181">
        <v>0</v>
      </c>
      <c r="DY10" s="181">
        <v>0</v>
      </c>
    </row>
    <row r="11" spans="2:129" ht="12.75">
      <c r="B11" s="233">
        <v>4</v>
      </c>
      <c r="C11" s="185"/>
      <c r="D11" s="185"/>
      <c r="E11" s="245" t="s">
        <v>1616</v>
      </c>
      <c r="F11" s="183"/>
      <c r="G11" s="183"/>
      <c r="H11" s="183"/>
      <c r="I11" s="183"/>
      <c r="J11" s="183"/>
      <c r="K11" s="183"/>
      <c r="L11" s="184"/>
      <c r="M11" s="231"/>
      <c r="O11" s="171" t="s">
        <v>1326</v>
      </c>
      <c r="P11" s="172" t="s">
        <v>1353</v>
      </c>
      <c r="Q11" s="171" t="s">
        <v>1433</v>
      </c>
      <c r="R11" s="171" t="s">
        <v>1434</v>
      </c>
      <c r="S11" s="173">
        <v>11</v>
      </c>
      <c r="U11" s="179" t="s">
        <v>1326</v>
      </c>
      <c r="V11" s="179" t="s">
        <v>1353</v>
      </c>
      <c r="W11" s="179" t="s">
        <v>1423</v>
      </c>
      <c r="X11" s="179">
        <v>7</v>
      </c>
      <c r="Y11" s="179" t="s">
        <v>1435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5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23</v>
      </c>
      <c r="AW11" s="113">
        <v>14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116</v>
      </c>
      <c r="BI11" s="113">
        <v>69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79">
        <v>0</v>
      </c>
      <c r="BW11" s="179">
        <v>0</v>
      </c>
      <c r="BX11" s="179">
        <v>0</v>
      </c>
      <c r="BY11" s="179">
        <v>0</v>
      </c>
      <c r="BZ11" s="181">
        <v>0</v>
      </c>
      <c r="CA11" s="181">
        <v>0</v>
      </c>
      <c r="CB11" s="181">
        <v>0</v>
      </c>
      <c r="CC11" s="181">
        <v>0</v>
      </c>
      <c r="CD11" s="181">
        <v>0</v>
      </c>
      <c r="CE11" s="181">
        <v>0</v>
      </c>
      <c r="CF11" s="181">
        <v>0</v>
      </c>
      <c r="CG11" s="181">
        <v>0</v>
      </c>
      <c r="CH11" s="181">
        <v>0</v>
      </c>
      <c r="CI11" s="181">
        <v>0</v>
      </c>
      <c r="CJ11" s="181">
        <v>12</v>
      </c>
      <c r="CK11" s="181">
        <v>0</v>
      </c>
      <c r="CL11" s="181">
        <v>0</v>
      </c>
      <c r="CM11" s="181">
        <v>0</v>
      </c>
      <c r="CN11" s="181">
        <v>0</v>
      </c>
      <c r="CO11" s="181">
        <v>0</v>
      </c>
      <c r="CP11" s="181">
        <v>0</v>
      </c>
      <c r="CQ11" s="181">
        <v>0</v>
      </c>
      <c r="CR11" s="181">
        <v>0</v>
      </c>
      <c r="CS11" s="181">
        <v>0</v>
      </c>
      <c r="CT11" s="181">
        <v>0</v>
      </c>
      <c r="CU11" s="181">
        <v>0</v>
      </c>
      <c r="CV11" s="181">
        <v>5</v>
      </c>
      <c r="CW11" s="181">
        <v>5</v>
      </c>
      <c r="CX11" s="181">
        <v>0</v>
      </c>
      <c r="CY11" s="181">
        <v>0</v>
      </c>
      <c r="CZ11" s="181">
        <v>0</v>
      </c>
      <c r="DA11" s="181">
        <v>0</v>
      </c>
      <c r="DB11" s="181">
        <v>0</v>
      </c>
      <c r="DC11" s="181">
        <v>0</v>
      </c>
      <c r="DD11" s="181">
        <v>0</v>
      </c>
      <c r="DE11" s="181">
        <v>0</v>
      </c>
      <c r="DF11" s="181">
        <v>0</v>
      </c>
      <c r="DG11" s="181">
        <v>0</v>
      </c>
      <c r="DH11" s="181">
        <v>8</v>
      </c>
      <c r="DI11" s="181">
        <v>5</v>
      </c>
      <c r="DJ11" s="181">
        <v>0</v>
      </c>
      <c r="DK11" s="181">
        <v>0</v>
      </c>
      <c r="DL11" s="181">
        <v>0</v>
      </c>
      <c r="DM11" s="181">
        <v>0</v>
      </c>
      <c r="DN11" s="181">
        <v>0</v>
      </c>
      <c r="DO11" s="181">
        <v>0</v>
      </c>
      <c r="DP11" s="181">
        <v>0</v>
      </c>
      <c r="DQ11" s="181">
        <v>0</v>
      </c>
      <c r="DR11" s="181">
        <v>0</v>
      </c>
      <c r="DS11" s="181">
        <v>0</v>
      </c>
      <c r="DT11" s="181">
        <v>0</v>
      </c>
      <c r="DU11" s="181">
        <v>0</v>
      </c>
      <c r="DV11" s="181">
        <v>0</v>
      </c>
      <c r="DW11" s="181">
        <v>0</v>
      </c>
      <c r="DX11" s="181">
        <v>0</v>
      </c>
      <c r="DY11" s="181">
        <v>0</v>
      </c>
    </row>
    <row r="12" spans="2:129" ht="12.75">
      <c r="B12" s="233" t="str">
        <f>VLOOKUP(B11,B60:D72,3,FALSE)</f>
        <v>GL</v>
      </c>
      <c r="C12" s="185"/>
      <c r="D12" s="185"/>
      <c r="E12" s="245"/>
      <c r="F12" s="183"/>
      <c r="G12" s="183"/>
      <c r="H12" s="183"/>
      <c r="I12" s="183"/>
      <c r="J12" s="183"/>
      <c r="K12" s="183"/>
      <c r="L12" s="184"/>
      <c r="M12" s="231"/>
      <c r="O12" s="171" t="s">
        <v>1326</v>
      </c>
      <c r="P12" s="172" t="s">
        <v>1353</v>
      </c>
      <c r="Q12" s="171" t="s">
        <v>1436</v>
      </c>
      <c r="R12" s="171" t="s">
        <v>1437</v>
      </c>
      <c r="S12" s="173">
        <v>12</v>
      </c>
      <c r="U12" s="179" t="s">
        <v>1326</v>
      </c>
      <c r="V12" s="179" t="s">
        <v>1353</v>
      </c>
      <c r="W12" s="179" t="s">
        <v>321</v>
      </c>
      <c r="X12" s="179">
        <v>8</v>
      </c>
      <c r="Y12" s="179" t="s">
        <v>1438</v>
      </c>
      <c r="Z12" s="113">
        <v>0</v>
      </c>
      <c r="AA12" s="113">
        <v>0</v>
      </c>
      <c r="AB12" s="113">
        <v>0</v>
      </c>
      <c r="AC12" s="113">
        <v>0</v>
      </c>
      <c r="AD12" s="113">
        <v>253</v>
      </c>
      <c r="AE12" s="113">
        <v>79</v>
      </c>
      <c r="AF12" s="113">
        <v>0</v>
      </c>
      <c r="AG12" s="113">
        <v>0</v>
      </c>
      <c r="AH12" s="113">
        <v>35</v>
      </c>
      <c r="AI12" s="113">
        <v>13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3</v>
      </c>
      <c r="AQ12" s="113">
        <v>0</v>
      </c>
      <c r="AR12" s="113">
        <v>0</v>
      </c>
      <c r="AS12" s="113">
        <v>0</v>
      </c>
      <c r="AT12" s="113">
        <v>277</v>
      </c>
      <c r="AU12" s="113">
        <v>103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140</v>
      </c>
      <c r="BG12" s="113">
        <v>94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79">
        <v>24</v>
      </c>
      <c r="BW12" s="179">
        <v>1</v>
      </c>
      <c r="BX12" s="179">
        <v>193</v>
      </c>
      <c r="BY12" s="179">
        <v>101</v>
      </c>
      <c r="BZ12" s="181">
        <v>0</v>
      </c>
      <c r="CA12" s="181">
        <v>0</v>
      </c>
      <c r="CB12" s="181">
        <v>0</v>
      </c>
      <c r="CC12" s="181">
        <v>0</v>
      </c>
      <c r="CD12" s="181">
        <v>9</v>
      </c>
      <c r="CE12" s="181">
        <v>3</v>
      </c>
      <c r="CF12" s="181">
        <v>0</v>
      </c>
      <c r="CG12" s="181">
        <v>0</v>
      </c>
      <c r="CH12" s="181">
        <v>5</v>
      </c>
      <c r="CI12" s="181">
        <v>1</v>
      </c>
      <c r="CJ12" s="181">
        <v>0</v>
      </c>
      <c r="CK12" s="181">
        <v>0</v>
      </c>
      <c r="CL12" s="181">
        <v>0</v>
      </c>
      <c r="CM12" s="181">
        <v>0</v>
      </c>
      <c r="CN12" s="181">
        <v>0</v>
      </c>
      <c r="CO12" s="181">
        <v>0</v>
      </c>
      <c r="CP12" s="181">
        <v>6</v>
      </c>
      <c r="CQ12" s="181">
        <v>0</v>
      </c>
      <c r="CR12" s="181">
        <v>0</v>
      </c>
      <c r="CS12" s="181">
        <v>0</v>
      </c>
      <c r="CT12" s="181">
        <v>6</v>
      </c>
      <c r="CU12" s="181">
        <v>5</v>
      </c>
      <c r="CV12" s="181">
        <v>0</v>
      </c>
      <c r="CW12" s="181">
        <v>0</v>
      </c>
      <c r="CX12" s="181">
        <v>0</v>
      </c>
      <c r="CY12" s="181">
        <v>0</v>
      </c>
      <c r="CZ12" s="181">
        <v>0</v>
      </c>
      <c r="DA12" s="181">
        <v>0</v>
      </c>
      <c r="DB12" s="181">
        <v>0</v>
      </c>
      <c r="DC12" s="181">
        <v>0</v>
      </c>
      <c r="DD12" s="181">
        <v>0</v>
      </c>
      <c r="DE12" s="181">
        <v>0</v>
      </c>
      <c r="DF12" s="181">
        <v>9</v>
      </c>
      <c r="DG12" s="181">
        <v>3</v>
      </c>
      <c r="DH12" s="181">
        <v>0</v>
      </c>
      <c r="DI12" s="181">
        <v>0</v>
      </c>
      <c r="DJ12" s="181">
        <v>0</v>
      </c>
      <c r="DK12" s="181">
        <v>0</v>
      </c>
      <c r="DL12" s="181">
        <v>0</v>
      </c>
      <c r="DM12" s="181">
        <v>0</v>
      </c>
      <c r="DN12" s="181">
        <v>0</v>
      </c>
      <c r="DO12" s="181">
        <v>0</v>
      </c>
      <c r="DP12" s="181">
        <v>0</v>
      </c>
      <c r="DQ12" s="181">
        <v>0</v>
      </c>
      <c r="DR12" s="181">
        <v>0</v>
      </c>
      <c r="DS12" s="181">
        <v>0</v>
      </c>
      <c r="DT12" s="181">
        <v>0</v>
      </c>
      <c r="DU12" s="181">
        <v>0</v>
      </c>
      <c r="DV12" s="181">
        <v>9</v>
      </c>
      <c r="DW12" s="181">
        <v>5</v>
      </c>
      <c r="DX12" s="181">
        <v>6</v>
      </c>
      <c r="DY12" s="181">
        <v>5</v>
      </c>
    </row>
    <row r="13" spans="2:129" ht="12.75">
      <c r="B13" s="233">
        <v>1</v>
      </c>
      <c r="C13" s="185"/>
      <c r="D13" s="185"/>
      <c r="E13" s="245" t="s">
        <v>1617</v>
      </c>
      <c r="F13" s="183"/>
      <c r="G13" s="183"/>
      <c r="H13" s="183"/>
      <c r="I13" s="183"/>
      <c r="J13" s="183"/>
      <c r="K13" s="183"/>
      <c r="L13" s="184"/>
      <c r="M13" s="231"/>
      <c r="O13" s="171" t="s">
        <v>1326</v>
      </c>
      <c r="P13" s="172" t="s">
        <v>1353</v>
      </c>
      <c r="Q13" s="171" t="s">
        <v>1439</v>
      </c>
      <c r="R13" s="171" t="s">
        <v>1440</v>
      </c>
      <c r="S13" s="173">
        <v>13</v>
      </c>
      <c r="U13" s="179" t="s">
        <v>1326</v>
      </c>
      <c r="V13" s="179" t="s">
        <v>1353</v>
      </c>
      <c r="W13" s="179" t="s">
        <v>1427</v>
      </c>
      <c r="X13" s="179">
        <v>9</v>
      </c>
      <c r="Y13" s="179" t="s">
        <v>1441</v>
      </c>
      <c r="Z13" s="113">
        <v>0</v>
      </c>
      <c r="AA13" s="113">
        <v>0</v>
      </c>
      <c r="AB13" s="113">
        <v>10</v>
      </c>
      <c r="AC13" s="113">
        <v>27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536</v>
      </c>
      <c r="AU13" s="113">
        <v>515</v>
      </c>
      <c r="AV13" s="113">
        <v>164</v>
      </c>
      <c r="AW13" s="113">
        <v>386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2</v>
      </c>
      <c r="BS13" s="113">
        <v>34</v>
      </c>
      <c r="BT13" s="113">
        <v>0</v>
      </c>
      <c r="BU13" s="113">
        <v>0</v>
      </c>
      <c r="BV13" s="179">
        <v>0</v>
      </c>
      <c r="BW13" s="179">
        <v>0</v>
      </c>
      <c r="BX13" s="179">
        <v>0</v>
      </c>
      <c r="BY13" s="179">
        <v>0</v>
      </c>
      <c r="BZ13" s="181">
        <v>0</v>
      </c>
      <c r="CA13" s="181">
        <v>0</v>
      </c>
      <c r="CB13" s="181">
        <v>6</v>
      </c>
      <c r="CC13" s="181">
        <v>1</v>
      </c>
      <c r="CD13" s="181">
        <v>0</v>
      </c>
      <c r="CE13" s="181">
        <v>0</v>
      </c>
      <c r="CF13" s="181">
        <v>0</v>
      </c>
      <c r="CG13" s="181">
        <v>0</v>
      </c>
      <c r="CH13" s="181">
        <v>0</v>
      </c>
      <c r="CI13" s="181">
        <v>0</v>
      </c>
      <c r="CJ13" s="181">
        <v>0</v>
      </c>
      <c r="CK13" s="181">
        <v>0</v>
      </c>
      <c r="CL13" s="181">
        <v>0</v>
      </c>
      <c r="CM13" s="181">
        <v>0</v>
      </c>
      <c r="CN13" s="181">
        <v>0</v>
      </c>
      <c r="CO13" s="181">
        <v>0</v>
      </c>
      <c r="CP13" s="181">
        <v>0</v>
      </c>
      <c r="CQ13" s="181">
        <v>0</v>
      </c>
      <c r="CR13" s="181">
        <v>0</v>
      </c>
      <c r="CS13" s="181">
        <v>0</v>
      </c>
      <c r="CT13" s="181">
        <v>11</v>
      </c>
      <c r="CU13" s="181">
        <v>7</v>
      </c>
      <c r="CV13" s="181">
        <v>11</v>
      </c>
      <c r="CW13" s="181">
        <v>5</v>
      </c>
      <c r="CX13" s="181">
        <v>0</v>
      </c>
      <c r="CY13" s="181">
        <v>0</v>
      </c>
      <c r="CZ13" s="181">
        <v>0</v>
      </c>
      <c r="DA13" s="181">
        <v>0</v>
      </c>
      <c r="DB13" s="181">
        <v>0</v>
      </c>
      <c r="DC13" s="181">
        <v>0</v>
      </c>
      <c r="DD13" s="181">
        <v>0</v>
      </c>
      <c r="DE13" s="181">
        <v>0</v>
      </c>
      <c r="DF13" s="181">
        <v>0</v>
      </c>
      <c r="DG13" s="181">
        <v>0</v>
      </c>
      <c r="DH13" s="181">
        <v>0</v>
      </c>
      <c r="DI13" s="181">
        <v>0</v>
      </c>
      <c r="DJ13" s="181">
        <v>0</v>
      </c>
      <c r="DK13" s="181">
        <v>0</v>
      </c>
      <c r="DL13" s="181">
        <v>0</v>
      </c>
      <c r="DM13" s="181">
        <v>0</v>
      </c>
      <c r="DN13" s="181">
        <v>0</v>
      </c>
      <c r="DO13" s="181">
        <v>0</v>
      </c>
      <c r="DP13" s="181">
        <v>0</v>
      </c>
      <c r="DQ13" s="181">
        <v>0</v>
      </c>
      <c r="DR13" s="181">
        <v>8</v>
      </c>
      <c r="DS13" s="181">
        <v>6</v>
      </c>
      <c r="DT13" s="181">
        <v>0</v>
      </c>
      <c r="DU13" s="181">
        <v>0</v>
      </c>
      <c r="DV13" s="181">
        <v>0</v>
      </c>
      <c r="DW13" s="181">
        <v>0</v>
      </c>
      <c r="DX13" s="181">
        <v>0</v>
      </c>
      <c r="DY13" s="181">
        <v>0</v>
      </c>
    </row>
    <row r="14" spans="2:129" ht="12.75">
      <c r="B14" s="233" t="str">
        <f>val1cell&amp;B13</f>
        <v>GL1</v>
      </c>
      <c r="C14" s="185"/>
      <c r="D14" s="185"/>
      <c r="E14" s="185"/>
      <c r="F14" s="183"/>
      <c r="G14" s="183"/>
      <c r="H14" s="183"/>
      <c r="I14" s="183"/>
      <c r="J14" s="183"/>
      <c r="K14" s="183"/>
      <c r="L14" s="184"/>
      <c r="M14" s="231"/>
      <c r="O14" s="171" t="s">
        <v>1326</v>
      </c>
      <c r="P14" s="172" t="s">
        <v>1353</v>
      </c>
      <c r="Q14" s="171" t="s">
        <v>1442</v>
      </c>
      <c r="R14" s="171" t="s">
        <v>1443</v>
      </c>
      <c r="S14" s="173">
        <v>14</v>
      </c>
      <c r="U14" s="179" t="s">
        <v>1326</v>
      </c>
      <c r="V14" s="179" t="s">
        <v>1353</v>
      </c>
      <c r="W14" s="179" t="s">
        <v>1430</v>
      </c>
      <c r="X14" s="179">
        <v>10</v>
      </c>
      <c r="Y14" s="179" t="s">
        <v>1444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1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4</v>
      </c>
      <c r="BS14" s="113">
        <v>0</v>
      </c>
      <c r="BT14" s="113">
        <v>0</v>
      </c>
      <c r="BU14" s="113">
        <v>0</v>
      </c>
      <c r="BV14" s="179">
        <v>0</v>
      </c>
      <c r="BW14" s="179">
        <v>0</v>
      </c>
      <c r="BX14" s="179">
        <v>0</v>
      </c>
      <c r="BY14" s="179">
        <v>0</v>
      </c>
      <c r="BZ14" s="181">
        <v>0</v>
      </c>
      <c r="CA14" s="181">
        <v>0</v>
      </c>
      <c r="CB14" s="181">
        <v>0</v>
      </c>
      <c r="CC14" s="181">
        <v>0</v>
      </c>
      <c r="CD14" s="181">
        <v>0</v>
      </c>
      <c r="CE14" s="181">
        <v>0</v>
      </c>
      <c r="CF14" s="181">
        <v>0</v>
      </c>
      <c r="CG14" s="181">
        <v>0</v>
      </c>
      <c r="CH14" s="181">
        <v>0</v>
      </c>
      <c r="CI14" s="181">
        <v>0</v>
      </c>
      <c r="CJ14" s="181">
        <v>0</v>
      </c>
      <c r="CK14" s="181">
        <v>0</v>
      </c>
      <c r="CL14" s="181">
        <v>0</v>
      </c>
      <c r="CM14" s="181">
        <v>0</v>
      </c>
      <c r="CN14" s="181">
        <v>0</v>
      </c>
      <c r="CO14" s="181">
        <v>0</v>
      </c>
      <c r="CP14" s="181">
        <v>0</v>
      </c>
      <c r="CQ14" s="181">
        <v>0</v>
      </c>
      <c r="CR14" s="181">
        <v>0</v>
      </c>
      <c r="CS14" s="181">
        <v>0</v>
      </c>
      <c r="CT14" s="181">
        <v>0</v>
      </c>
      <c r="CU14" s="181">
        <v>0</v>
      </c>
      <c r="CV14" s="181">
        <v>1</v>
      </c>
      <c r="CW14" s="181">
        <v>0</v>
      </c>
      <c r="CX14" s="181">
        <v>0</v>
      </c>
      <c r="CY14" s="181">
        <v>0</v>
      </c>
      <c r="CZ14" s="181">
        <v>0</v>
      </c>
      <c r="DA14" s="181">
        <v>0</v>
      </c>
      <c r="DB14" s="181">
        <v>0</v>
      </c>
      <c r="DC14" s="181">
        <v>0</v>
      </c>
      <c r="DD14" s="181">
        <v>0</v>
      </c>
      <c r="DE14" s="181">
        <v>0</v>
      </c>
      <c r="DF14" s="181">
        <v>0</v>
      </c>
      <c r="DG14" s="181">
        <v>0</v>
      </c>
      <c r="DH14" s="181">
        <v>0</v>
      </c>
      <c r="DI14" s="181">
        <v>0</v>
      </c>
      <c r="DJ14" s="181">
        <v>0</v>
      </c>
      <c r="DK14" s="181">
        <v>0</v>
      </c>
      <c r="DL14" s="181">
        <v>0</v>
      </c>
      <c r="DM14" s="181">
        <v>0</v>
      </c>
      <c r="DN14" s="181">
        <v>0</v>
      </c>
      <c r="DO14" s="181">
        <v>0</v>
      </c>
      <c r="DP14" s="181">
        <v>0</v>
      </c>
      <c r="DQ14" s="181">
        <v>0</v>
      </c>
      <c r="DR14" s="181">
        <v>0</v>
      </c>
      <c r="DS14" s="181">
        <v>0</v>
      </c>
      <c r="DT14" s="181">
        <v>0</v>
      </c>
      <c r="DU14" s="181">
        <v>0</v>
      </c>
      <c r="DV14" s="181">
        <v>0</v>
      </c>
      <c r="DW14" s="181">
        <v>0</v>
      </c>
      <c r="DX14" s="181">
        <v>0</v>
      </c>
      <c r="DY14" s="181">
        <v>0</v>
      </c>
    </row>
    <row r="15" spans="2:129" ht="13.5">
      <c r="B15" s="234"/>
      <c r="C15" s="183"/>
      <c r="D15" s="185"/>
      <c r="E15" s="185"/>
      <c r="F15" s="183"/>
      <c r="G15" s="183"/>
      <c r="H15" s="183"/>
      <c r="I15" s="183"/>
      <c r="J15" s="183"/>
      <c r="K15" s="183"/>
      <c r="L15" s="184"/>
      <c r="M15" s="231"/>
      <c r="O15" s="171" t="s">
        <v>1326</v>
      </c>
      <c r="P15" s="172" t="s">
        <v>1353</v>
      </c>
      <c r="Q15" s="171" t="s">
        <v>1445</v>
      </c>
      <c r="R15" s="171" t="s">
        <v>1446</v>
      </c>
      <c r="S15" s="173">
        <v>15</v>
      </c>
      <c r="U15" s="179" t="s">
        <v>1326</v>
      </c>
      <c r="V15" s="179" t="s">
        <v>1353</v>
      </c>
      <c r="W15" s="179" t="s">
        <v>1433</v>
      </c>
      <c r="X15" s="179">
        <v>11</v>
      </c>
      <c r="Y15" s="179" t="s">
        <v>1447</v>
      </c>
      <c r="Z15" s="113">
        <v>0</v>
      </c>
      <c r="AA15" s="113">
        <v>0</v>
      </c>
      <c r="AB15" s="113">
        <v>77</v>
      </c>
      <c r="AC15" s="113">
        <v>75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79">
        <v>0</v>
      </c>
      <c r="BW15" s="179">
        <v>0</v>
      </c>
      <c r="BX15" s="179">
        <v>0</v>
      </c>
      <c r="BY15" s="179">
        <v>0</v>
      </c>
      <c r="BZ15" s="181">
        <v>0</v>
      </c>
      <c r="CA15" s="181">
        <v>0</v>
      </c>
      <c r="CB15" s="181">
        <v>5</v>
      </c>
      <c r="CC15" s="181">
        <v>2</v>
      </c>
      <c r="CD15" s="181">
        <v>0</v>
      </c>
      <c r="CE15" s="181">
        <v>0</v>
      </c>
      <c r="CF15" s="181">
        <v>0</v>
      </c>
      <c r="CG15" s="181">
        <v>0</v>
      </c>
      <c r="CH15" s="181">
        <v>0</v>
      </c>
      <c r="CI15" s="181">
        <v>0</v>
      </c>
      <c r="CJ15" s="181">
        <v>0</v>
      </c>
      <c r="CK15" s="181">
        <v>0</v>
      </c>
      <c r="CL15" s="181">
        <v>0</v>
      </c>
      <c r="CM15" s="181">
        <v>0</v>
      </c>
      <c r="CN15" s="181">
        <v>0</v>
      </c>
      <c r="CO15" s="181">
        <v>0</v>
      </c>
      <c r="CP15" s="181">
        <v>0</v>
      </c>
      <c r="CQ15" s="181">
        <v>0</v>
      </c>
      <c r="CR15" s="181">
        <v>0</v>
      </c>
      <c r="CS15" s="181">
        <v>0</v>
      </c>
      <c r="CT15" s="181">
        <v>0</v>
      </c>
      <c r="CU15" s="181">
        <v>0</v>
      </c>
      <c r="CV15" s="181">
        <v>0</v>
      </c>
      <c r="CW15" s="181">
        <v>0</v>
      </c>
      <c r="CX15" s="181">
        <v>0</v>
      </c>
      <c r="CY15" s="181">
        <v>0</v>
      </c>
      <c r="CZ15" s="181">
        <v>0</v>
      </c>
      <c r="DA15" s="181">
        <v>0</v>
      </c>
      <c r="DB15" s="181">
        <v>0</v>
      </c>
      <c r="DC15" s="181">
        <v>0</v>
      </c>
      <c r="DD15" s="181">
        <v>0</v>
      </c>
      <c r="DE15" s="181">
        <v>0</v>
      </c>
      <c r="DF15" s="181">
        <v>0</v>
      </c>
      <c r="DG15" s="181">
        <v>0</v>
      </c>
      <c r="DH15" s="181">
        <v>0</v>
      </c>
      <c r="DI15" s="181">
        <v>0</v>
      </c>
      <c r="DJ15" s="181">
        <v>0</v>
      </c>
      <c r="DK15" s="181">
        <v>0</v>
      </c>
      <c r="DL15" s="181">
        <v>0</v>
      </c>
      <c r="DM15" s="181">
        <v>0</v>
      </c>
      <c r="DN15" s="181">
        <v>0</v>
      </c>
      <c r="DO15" s="181">
        <v>0</v>
      </c>
      <c r="DP15" s="181">
        <v>0</v>
      </c>
      <c r="DQ15" s="181">
        <v>0</v>
      </c>
      <c r="DR15" s="181">
        <v>0</v>
      </c>
      <c r="DS15" s="181">
        <v>0</v>
      </c>
      <c r="DT15" s="181">
        <v>0</v>
      </c>
      <c r="DU15" s="181">
        <v>0</v>
      </c>
      <c r="DV15" s="181">
        <v>0</v>
      </c>
      <c r="DW15" s="181">
        <v>0</v>
      </c>
      <c r="DX15" s="181">
        <v>0</v>
      </c>
      <c r="DY15" s="181">
        <v>0</v>
      </c>
    </row>
    <row r="16" spans="2:129" ht="13.5">
      <c r="B16" s="235"/>
      <c r="C16" s="245" t="s">
        <v>279</v>
      </c>
      <c r="D16" s="185"/>
      <c r="E16" s="185"/>
      <c r="F16" s="183"/>
      <c r="G16" s="183"/>
      <c r="H16" s="183"/>
      <c r="I16" s="183"/>
      <c r="J16" s="183"/>
      <c r="K16" s="183"/>
      <c r="L16" s="184"/>
      <c r="M16" s="231"/>
      <c r="O16" s="171" t="s">
        <v>1326</v>
      </c>
      <c r="P16" s="172" t="s">
        <v>1353</v>
      </c>
      <c r="Q16" s="171" t="s">
        <v>1448</v>
      </c>
      <c r="R16" s="171" t="s">
        <v>1449</v>
      </c>
      <c r="S16" s="173">
        <v>16</v>
      </c>
      <c r="U16" s="179" t="s">
        <v>1326</v>
      </c>
      <c r="V16" s="179" t="s">
        <v>1353</v>
      </c>
      <c r="W16" s="179" t="s">
        <v>1436</v>
      </c>
      <c r="X16" s="179">
        <v>12</v>
      </c>
      <c r="Y16" s="179" t="s">
        <v>1450</v>
      </c>
      <c r="Z16" s="113">
        <v>0</v>
      </c>
      <c r="AA16" s="113">
        <v>0</v>
      </c>
      <c r="AB16" s="113">
        <v>1266</v>
      </c>
      <c r="AC16" s="113">
        <v>178</v>
      </c>
      <c r="AD16" s="113">
        <v>2881</v>
      </c>
      <c r="AE16" s="113">
        <v>431</v>
      </c>
      <c r="AF16" s="113">
        <v>0</v>
      </c>
      <c r="AG16" s="113">
        <v>0</v>
      </c>
      <c r="AH16" s="113">
        <v>80</v>
      </c>
      <c r="AI16" s="113">
        <v>13</v>
      </c>
      <c r="AJ16" s="113">
        <v>1858</v>
      </c>
      <c r="AK16" s="113">
        <v>394</v>
      </c>
      <c r="AL16" s="113">
        <v>3521</v>
      </c>
      <c r="AM16" s="113">
        <v>477</v>
      </c>
      <c r="AN16" s="113">
        <v>0</v>
      </c>
      <c r="AO16" s="113">
        <v>0</v>
      </c>
      <c r="AP16" s="113">
        <v>0</v>
      </c>
      <c r="AQ16" s="113">
        <v>0</v>
      </c>
      <c r="AR16" s="113">
        <v>2419</v>
      </c>
      <c r="AS16" s="113">
        <v>291</v>
      </c>
      <c r="AT16" s="113">
        <v>994</v>
      </c>
      <c r="AU16" s="113">
        <v>156</v>
      </c>
      <c r="AV16" s="113">
        <v>4089</v>
      </c>
      <c r="AW16" s="113">
        <v>421</v>
      </c>
      <c r="AX16" s="113">
        <v>471</v>
      </c>
      <c r="AY16" s="113">
        <v>74</v>
      </c>
      <c r="AZ16" s="113">
        <v>712</v>
      </c>
      <c r="BA16" s="113">
        <v>132</v>
      </c>
      <c r="BB16" s="113">
        <v>0</v>
      </c>
      <c r="BC16" s="113">
        <v>0</v>
      </c>
      <c r="BD16" s="113">
        <v>0</v>
      </c>
      <c r="BE16" s="113">
        <v>0</v>
      </c>
      <c r="BF16" s="113">
        <v>407</v>
      </c>
      <c r="BG16" s="113">
        <v>66</v>
      </c>
      <c r="BH16" s="113">
        <v>1045</v>
      </c>
      <c r="BI16" s="113">
        <v>194</v>
      </c>
      <c r="BJ16" s="113">
        <v>449</v>
      </c>
      <c r="BK16" s="113">
        <v>27</v>
      </c>
      <c r="BL16" s="113">
        <v>83</v>
      </c>
      <c r="BM16" s="113">
        <v>13</v>
      </c>
      <c r="BN16" s="113">
        <v>129</v>
      </c>
      <c r="BO16" s="113">
        <v>12</v>
      </c>
      <c r="BP16" s="113">
        <v>505</v>
      </c>
      <c r="BQ16" s="113">
        <v>67</v>
      </c>
      <c r="BR16" s="113">
        <v>1364</v>
      </c>
      <c r="BS16" s="113">
        <v>295</v>
      </c>
      <c r="BT16" s="113">
        <v>161</v>
      </c>
      <c r="BU16" s="113">
        <v>38</v>
      </c>
      <c r="BV16" s="179">
        <v>217</v>
      </c>
      <c r="BW16" s="179">
        <v>70</v>
      </c>
      <c r="BX16" s="179">
        <v>120</v>
      </c>
      <c r="BY16" s="179">
        <v>12</v>
      </c>
      <c r="BZ16" s="181">
        <v>0</v>
      </c>
      <c r="CA16" s="181">
        <v>0</v>
      </c>
      <c r="CB16" s="181">
        <v>1</v>
      </c>
      <c r="CC16" s="181">
        <v>1</v>
      </c>
      <c r="CD16" s="181">
        <v>2</v>
      </c>
      <c r="CE16" s="181">
        <v>1</v>
      </c>
      <c r="CF16" s="181">
        <v>0</v>
      </c>
      <c r="CG16" s="181">
        <v>0</v>
      </c>
      <c r="CH16" s="181">
        <v>1</v>
      </c>
      <c r="CI16" s="181">
        <v>1</v>
      </c>
      <c r="CJ16" s="181">
        <v>8</v>
      </c>
      <c r="CK16" s="181">
        <v>0</v>
      </c>
      <c r="CL16" s="181">
        <v>9</v>
      </c>
      <c r="CM16" s="181">
        <v>6</v>
      </c>
      <c r="CN16" s="181">
        <v>0</v>
      </c>
      <c r="CO16" s="181">
        <v>0</v>
      </c>
      <c r="CP16" s="181">
        <v>0</v>
      </c>
      <c r="CQ16" s="181">
        <v>0</v>
      </c>
      <c r="CR16" s="181">
        <v>5</v>
      </c>
      <c r="CS16" s="181">
        <v>3</v>
      </c>
      <c r="CT16" s="181">
        <v>8</v>
      </c>
      <c r="CU16" s="181">
        <v>4</v>
      </c>
      <c r="CV16" s="181">
        <v>6</v>
      </c>
      <c r="CW16" s="181">
        <v>4</v>
      </c>
      <c r="CX16" s="181">
        <v>11</v>
      </c>
      <c r="CY16" s="181">
        <v>1</v>
      </c>
      <c r="CZ16" s="181">
        <v>7</v>
      </c>
      <c r="DA16" s="181">
        <v>3</v>
      </c>
      <c r="DB16" s="181">
        <v>0</v>
      </c>
      <c r="DC16" s="181">
        <v>0</v>
      </c>
      <c r="DD16" s="181">
        <v>0</v>
      </c>
      <c r="DE16" s="181">
        <v>0</v>
      </c>
      <c r="DF16" s="181">
        <v>12</v>
      </c>
      <c r="DG16" s="181">
        <v>8</v>
      </c>
      <c r="DH16" s="181">
        <v>1</v>
      </c>
      <c r="DI16" s="181">
        <v>0</v>
      </c>
      <c r="DJ16" s="181">
        <v>6</v>
      </c>
      <c r="DK16" s="181">
        <v>0</v>
      </c>
      <c r="DL16" s="181">
        <v>9</v>
      </c>
      <c r="DM16" s="181">
        <v>7</v>
      </c>
      <c r="DN16" s="181">
        <v>2</v>
      </c>
      <c r="DO16" s="181">
        <v>0</v>
      </c>
      <c r="DP16" s="181">
        <v>10</v>
      </c>
      <c r="DQ16" s="181">
        <v>6</v>
      </c>
      <c r="DR16" s="181">
        <v>6</v>
      </c>
      <c r="DS16" s="181">
        <v>2</v>
      </c>
      <c r="DT16" s="181">
        <v>7</v>
      </c>
      <c r="DU16" s="181">
        <v>3</v>
      </c>
      <c r="DV16" s="181">
        <v>1</v>
      </c>
      <c r="DW16" s="181">
        <v>1</v>
      </c>
      <c r="DX16" s="181">
        <v>5</v>
      </c>
      <c r="DY16" s="181">
        <v>0</v>
      </c>
    </row>
    <row r="17" spans="1:130" s="191" customFormat="1" ht="13.5">
      <c r="A17" s="187"/>
      <c r="B17" s="236"/>
      <c r="C17" s="319" t="s">
        <v>8</v>
      </c>
      <c r="D17" s="319"/>
      <c r="E17" s="320" t="s">
        <v>1354</v>
      </c>
      <c r="F17" s="320"/>
      <c r="G17" s="320"/>
      <c r="H17" s="320"/>
      <c r="I17" s="320" t="s">
        <v>5</v>
      </c>
      <c r="J17" s="320"/>
      <c r="K17" s="320"/>
      <c r="L17" s="320"/>
      <c r="M17" s="231"/>
      <c r="N17" s="188"/>
      <c r="O17" s="171" t="s">
        <v>1326</v>
      </c>
      <c r="P17" s="172" t="s">
        <v>1353</v>
      </c>
      <c r="Q17" s="171" t="s">
        <v>316</v>
      </c>
      <c r="R17" s="171" t="s">
        <v>317</v>
      </c>
      <c r="S17" s="173">
        <v>17</v>
      </c>
      <c r="T17" s="189"/>
      <c r="U17" s="179" t="s">
        <v>1326</v>
      </c>
      <c r="V17" s="179" t="s">
        <v>1353</v>
      </c>
      <c r="W17" s="179" t="s">
        <v>1439</v>
      </c>
      <c r="X17" s="179">
        <v>13</v>
      </c>
      <c r="Y17" s="179" t="s">
        <v>1451</v>
      </c>
      <c r="Z17" s="113">
        <v>0</v>
      </c>
      <c r="AA17" s="113">
        <v>0</v>
      </c>
      <c r="AB17" s="113">
        <v>303</v>
      </c>
      <c r="AC17" s="113">
        <v>79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79">
        <v>156</v>
      </c>
      <c r="BW17" s="179">
        <v>32</v>
      </c>
      <c r="BX17" s="179">
        <v>170</v>
      </c>
      <c r="BY17" s="179">
        <v>43</v>
      </c>
      <c r="BZ17" s="181">
        <v>0</v>
      </c>
      <c r="CA17" s="181">
        <v>0</v>
      </c>
      <c r="CB17" s="181">
        <v>10</v>
      </c>
      <c r="CC17" s="181">
        <v>7</v>
      </c>
      <c r="CD17" s="181">
        <v>0</v>
      </c>
      <c r="CE17" s="181">
        <v>0</v>
      </c>
      <c r="CF17" s="181">
        <v>0</v>
      </c>
      <c r="CG17" s="181">
        <v>0</v>
      </c>
      <c r="CH17" s="181">
        <v>0</v>
      </c>
      <c r="CI17" s="181">
        <v>0</v>
      </c>
      <c r="CJ17" s="181">
        <v>0</v>
      </c>
      <c r="CK17" s="181">
        <v>0</v>
      </c>
      <c r="CL17" s="181">
        <v>0</v>
      </c>
      <c r="CM17" s="181">
        <v>0</v>
      </c>
      <c r="CN17" s="181">
        <v>0</v>
      </c>
      <c r="CO17" s="181">
        <v>0</v>
      </c>
      <c r="CP17" s="181">
        <v>0</v>
      </c>
      <c r="CQ17" s="181">
        <v>0</v>
      </c>
      <c r="CR17" s="181">
        <v>0</v>
      </c>
      <c r="CS17" s="181">
        <v>0</v>
      </c>
      <c r="CT17" s="181">
        <v>0</v>
      </c>
      <c r="CU17" s="181">
        <v>0</v>
      </c>
      <c r="CV17" s="181">
        <v>0</v>
      </c>
      <c r="CW17" s="181">
        <v>0</v>
      </c>
      <c r="CX17" s="181">
        <v>0</v>
      </c>
      <c r="CY17" s="181">
        <v>0</v>
      </c>
      <c r="CZ17" s="181">
        <v>0</v>
      </c>
      <c r="DA17" s="181">
        <v>0</v>
      </c>
      <c r="DB17" s="181">
        <v>0</v>
      </c>
      <c r="DC17" s="181">
        <v>0</v>
      </c>
      <c r="DD17" s="181">
        <v>0</v>
      </c>
      <c r="DE17" s="181">
        <v>0</v>
      </c>
      <c r="DF17" s="181">
        <v>0</v>
      </c>
      <c r="DG17" s="181">
        <v>0</v>
      </c>
      <c r="DH17" s="181">
        <v>0</v>
      </c>
      <c r="DI17" s="181">
        <v>0</v>
      </c>
      <c r="DJ17" s="181">
        <v>0</v>
      </c>
      <c r="DK17" s="181">
        <v>0</v>
      </c>
      <c r="DL17" s="181">
        <v>0</v>
      </c>
      <c r="DM17" s="181">
        <v>0</v>
      </c>
      <c r="DN17" s="181">
        <v>0</v>
      </c>
      <c r="DO17" s="181">
        <v>0</v>
      </c>
      <c r="DP17" s="181">
        <v>0</v>
      </c>
      <c r="DQ17" s="181">
        <v>0</v>
      </c>
      <c r="DR17" s="181">
        <v>0</v>
      </c>
      <c r="DS17" s="181">
        <v>0</v>
      </c>
      <c r="DT17" s="181">
        <v>0</v>
      </c>
      <c r="DU17" s="181">
        <v>0</v>
      </c>
      <c r="DV17" s="181">
        <v>8</v>
      </c>
      <c r="DW17" s="181">
        <v>8</v>
      </c>
      <c r="DX17" s="181">
        <v>0</v>
      </c>
      <c r="DY17" s="181">
        <v>0</v>
      </c>
      <c r="DZ17" s="190"/>
    </row>
    <row r="18" spans="2:129" ht="27">
      <c r="B18" s="236"/>
      <c r="C18" s="319"/>
      <c r="D18" s="319"/>
      <c r="E18" s="243" t="s">
        <v>46</v>
      </c>
      <c r="F18" s="243" t="s">
        <v>47</v>
      </c>
      <c r="G18" s="243" t="s">
        <v>163</v>
      </c>
      <c r="H18" s="244" t="s">
        <v>1452</v>
      </c>
      <c r="I18" s="243" t="s">
        <v>46</v>
      </c>
      <c r="J18" s="243" t="s">
        <v>47</v>
      </c>
      <c r="K18" s="243" t="s">
        <v>163</v>
      </c>
      <c r="L18" s="244" t="s">
        <v>1452</v>
      </c>
      <c r="M18" s="231"/>
      <c r="N18" s="188"/>
      <c r="O18" s="171" t="s">
        <v>1326</v>
      </c>
      <c r="P18" s="172" t="s">
        <v>1353</v>
      </c>
      <c r="Q18" s="171" t="s">
        <v>323</v>
      </c>
      <c r="R18" s="171" t="s">
        <v>324</v>
      </c>
      <c r="S18" s="173">
        <v>18</v>
      </c>
      <c r="U18" s="179" t="s">
        <v>1326</v>
      </c>
      <c r="V18" s="179" t="s">
        <v>1353</v>
      </c>
      <c r="W18" s="179" t="s">
        <v>1442</v>
      </c>
      <c r="X18" s="179">
        <v>14</v>
      </c>
      <c r="Y18" s="179" t="s">
        <v>1453</v>
      </c>
      <c r="Z18" s="113">
        <v>0</v>
      </c>
      <c r="AA18" s="113">
        <v>0</v>
      </c>
      <c r="AB18" s="113">
        <v>0</v>
      </c>
      <c r="AC18" s="113">
        <v>0</v>
      </c>
      <c r="AD18" s="113">
        <v>3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17</v>
      </c>
      <c r="AK18" s="113">
        <v>7</v>
      </c>
      <c r="AL18" s="113">
        <v>0</v>
      </c>
      <c r="AM18" s="113">
        <v>0</v>
      </c>
      <c r="AN18" s="113">
        <v>40</v>
      </c>
      <c r="AO18" s="113">
        <v>13</v>
      </c>
      <c r="AP18" s="113">
        <v>0</v>
      </c>
      <c r="AQ18" s="113">
        <v>0</v>
      </c>
      <c r="AR18" s="113">
        <v>27</v>
      </c>
      <c r="AS18" s="113">
        <v>23</v>
      </c>
      <c r="AT18" s="113">
        <v>0</v>
      </c>
      <c r="AU18" s="113">
        <v>0</v>
      </c>
      <c r="AV18" s="113">
        <v>0</v>
      </c>
      <c r="AW18" s="113">
        <v>0</v>
      </c>
      <c r="AX18" s="113">
        <v>9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9</v>
      </c>
      <c r="BI18" s="113">
        <v>3</v>
      </c>
      <c r="BJ18" s="113">
        <v>0</v>
      </c>
      <c r="BK18" s="113">
        <v>0</v>
      </c>
      <c r="BL18" s="113">
        <v>15</v>
      </c>
      <c r="BM18" s="113">
        <v>8</v>
      </c>
      <c r="BN18" s="113">
        <v>0</v>
      </c>
      <c r="BO18" s="113">
        <v>0</v>
      </c>
      <c r="BP18" s="113">
        <v>8</v>
      </c>
      <c r="BQ18" s="113">
        <v>7</v>
      </c>
      <c r="BR18" s="113">
        <v>9</v>
      </c>
      <c r="BS18" s="113">
        <v>8</v>
      </c>
      <c r="BT18" s="113">
        <v>0</v>
      </c>
      <c r="BU18" s="113">
        <v>0</v>
      </c>
      <c r="BV18" s="179">
        <v>0</v>
      </c>
      <c r="BW18" s="179">
        <v>0</v>
      </c>
      <c r="BX18" s="179">
        <v>0</v>
      </c>
      <c r="BY18" s="179">
        <v>0</v>
      </c>
      <c r="BZ18" s="181">
        <v>0</v>
      </c>
      <c r="CA18" s="181">
        <v>0</v>
      </c>
      <c r="CB18" s="181">
        <v>0</v>
      </c>
      <c r="CC18" s="181">
        <v>0</v>
      </c>
      <c r="CD18" s="181">
        <v>12</v>
      </c>
      <c r="CE18" s="181">
        <v>0</v>
      </c>
      <c r="CF18" s="181">
        <v>0</v>
      </c>
      <c r="CG18" s="181">
        <v>0</v>
      </c>
      <c r="CH18" s="181">
        <v>0</v>
      </c>
      <c r="CI18" s="181">
        <v>0</v>
      </c>
      <c r="CJ18" s="181">
        <v>0</v>
      </c>
      <c r="CK18" s="181">
        <v>0</v>
      </c>
      <c r="CL18" s="181">
        <v>0</v>
      </c>
      <c r="CM18" s="181">
        <v>0</v>
      </c>
      <c r="CN18" s="181">
        <v>11</v>
      </c>
      <c r="CO18" s="181">
        <v>4</v>
      </c>
      <c r="CP18" s="181">
        <v>0</v>
      </c>
      <c r="CQ18" s="181">
        <v>0</v>
      </c>
      <c r="CR18" s="181">
        <v>11</v>
      </c>
      <c r="CS18" s="181">
        <v>0</v>
      </c>
      <c r="CT18" s="181">
        <v>0</v>
      </c>
      <c r="CU18" s="181">
        <v>0</v>
      </c>
      <c r="CV18" s="181">
        <v>0</v>
      </c>
      <c r="CW18" s="181">
        <v>0</v>
      </c>
      <c r="CX18" s="181">
        <v>5</v>
      </c>
      <c r="CY18" s="181">
        <v>0</v>
      </c>
      <c r="CZ18" s="181">
        <v>0</v>
      </c>
      <c r="DA18" s="181">
        <v>0</v>
      </c>
      <c r="DB18" s="181">
        <v>0</v>
      </c>
      <c r="DC18" s="181">
        <v>0</v>
      </c>
      <c r="DD18" s="181">
        <v>0</v>
      </c>
      <c r="DE18" s="181">
        <v>0</v>
      </c>
      <c r="DF18" s="181">
        <v>0</v>
      </c>
      <c r="DG18" s="181">
        <v>0</v>
      </c>
      <c r="DH18" s="181">
        <v>2</v>
      </c>
      <c r="DI18" s="181">
        <v>1</v>
      </c>
      <c r="DJ18" s="181">
        <v>0</v>
      </c>
      <c r="DK18" s="181">
        <v>0</v>
      </c>
      <c r="DL18" s="181">
        <v>1</v>
      </c>
      <c r="DM18" s="181">
        <v>0</v>
      </c>
      <c r="DN18" s="181">
        <v>0</v>
      </c>
      <c r="DO18" s="181">
        <v>0</v>
      </c>
      <c r="DP18" s="181">
        <v>6</v>
      </c>
      <c r="DQ18" s="181">
        <v>1</v>
      </c>
      <c r="DR18" s="181">
        <v>12</v>
      </c>
      <c r="DS18" s="181">
        <v>0</v>
      </c>
      <c r="DT18" s="181">
        <v>0</v>
      </c>
      <c r="DU18" s="181">
        <v>0</v>
      </c>
      <c r="DV18" s="181">
        <v>0</v>
      </c>
      <c r="DW18" s="181">
        <v>0</v>
      </c>
      <c r="DX18" s="181">
        <v>0</v>
      </c>
      <c r="DY18" s="181">
        <v>0</v>
      </c>
    </row>
    <row r="19" spans="2:129" ht="13.5">
      <c r="B19" s="237"/>
      <c r="C19" s="246" t="s">
        <v>9</v>
      </c>
      <c r="D19" s="247"/>
      <c r="E19" s="253">
        <f>VLOOKUP($B$14,$Y$5:$DY$106,54,FALSE)</f>
        <v>0</v>
      </c>
      <c r="F19" s="254">
        <f>VLOOKUP($B$14,$Y$5:$DY$642,55,FALSE)</f>
        <v>0</v>
      </c>
      <c r="G19" s="255">
        <f>IF($F$45=0,0,F19/$F$45)</f>
        <v>0</v>
      </c>
      <c r="H19" s="256">
        <f>IF(E19=0,0,F19/E19)</f>
        <v>0</v>
      </c>
      <c r="I19" s="253">
        <f>VLOOKUP($B$14,$Y$5:$DY$642,2,FALSE)</f>
        <v>0</v>
      </c>
      <c r="J19" s="254">
        <f>VLOOKUP($B$14,$Y$5:$DY$642,3,FALSE)</f>
        <v>0</v>
      </c>
      <c r="K19" s="255">
        <f>IF($J$45=0,0,J19/$J$45)</f>
        <v>0</v>
      </c>
      <c r="L19" s="256">
        <f>IF(I19=0,0,J19/I19)</f>
        <v>0</v>
      </c>
      <c r="M19" s="238"/>
      <c r="N19" s="188"/>
      <c r="O19" s="171" t="s">
        <v>1326</v>
      </c>
      <c r="P19" s="172" t="s">
        <v>1353</v>
      </c>
      <c r="Q19" s="171" t="s">
        <v>1454</v>
      </c>
      <c r="R19" s="171" t="s">
        <v>1455</v>
      </c>
      <c r="S19" s="173">
        <v>19</v>
      </c>
      <c r="U19" s="179" t="s">
        <v>1326</v>
      </c>
      <c r="V19" s="179" t="s">
        <v>1353</v>
      </c>
      <c r="W19" s="179" t="s">
        <v>1445</v>
      </c>
      <c r="X19" s="179">
        <v>15</v>
      </c>
      <c r="Y19" s="179" t="s">
        <v>1456</v>
      </c>
      <c r="Z19" s="113">
        <v>0</v>
      </c>
      <c r="AA19" s="113">
        <v>0</v>
      </c>
      <c r="AB19" s="113">
        <v>47</v>
      </c>
      <c r="AC19" s="113">
        <v>58</v>
      </c>
      <c r="AD19" s="113">
        <v>67</v>
      </c>
      <c r="AE19" s="113">
        <v>49</v>
      </c>
      <c r="AF19" s="113">
        <v>0</v>
      </c>
      <c r="AG19" s="113">
        <v>0</v>
      </c>
      <c r="AH19" s="113">
        <v>0</v>
      </c>
      <c r="AI19" s="113">
        <v>0</v>
      </c>
      <c r="AJ19" s="113">
        <v>50</v>
      </c>
      <c r="AK19" s="113">
        <v>20</v>
      </c>
      <c r="AL19" s="113">
        <v>71</v>
      </c>
      <c r="AM19" s="113">
        <v>38</v>
      </c>
      <c r="AN19" s="113">
        <v>0</v>
      </c>
      <c r="AO19" s="113">
        <v>0</v>
      </c>
      <c r="AP19" s="113">
        <v>38</v>
      </c>
      <c r="AQ19" s="113">
        <v>50</v>
      </c>
      <c r="AR19" s="113">
        <v>252</v>
      </c>
      <c r="AS19" s="113">
        <v>219</v>
      </c>
      <c r="AT19" s="113">
        <v>138</v>
      </c>
      <c r="AU19" s="113">
        <v>107</v>
      </c>
      <c r="AV19" s="113">
        <v>251</v>
      </c>
      <c r="AW19" s="113">
        <v>164</v>
      </c>
      <c r="AX19" s="113">
        <v>33</v>
      </c>
      <c r="AY19" s="113">
        <v>9</v>
      </c>
      <c r="AZ19" s="113">
        <v>31</v>
      </c>
      <c r="BA19" s="113">
        <v>17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195</v>
      </c>
      <c r="BI19" s="113">
        <v>131</v>
      </c>
      <c r="BJ19" s="113">
        <v>57</v>
      </c>
      <c r="BK19" s="113">
        <v>24</v>
      </c>
      <c r="BL19" s="113">
        <v>0</v>
      </c>
      <c r="BM19" s="113">
        <v>0</v>
      </c>
      <c r="BN19" s="113">
        <v>6</v>
      </c>
      <c r="BO19" s="113">
        <v>7</v>
      </c>
      <c r="BP19" s="113">
        <v>108</v>
      </c>
      <c r="BQ19" s="113">
        <v>79</v>
      </c>
      <c r="BR19" s="113">
        <v>47</v>
      </c>
      <c r="BS19" s="113">
        <v>23</v>
      </c>
      <c r="BT19" s="113">
        <v>125</v>
      </c>
      <c r="BU19" s="113">
        <v>123</v>
      </c>
      <c r="BV19" s="179">
        <v>0</v>
      </c>
      <c r="BW19" s="179">
        <v>0</v>
      </c>
      <c r="BX19" s="179">
        <v>0</v>
      </c>
      <c r="BY19" s="179">
        <v>0</v>
      </c>
      <c r="BZ19" s="181">
        <v>0</v>
      </c>
      <c r="CA19" s="181">
        <v>0</v>
      </c>
      <c r="CB19" s="181">
        <v>10</v>
      </c>
      <c r="CC19" s="181">
        <v>1</v>
      </c>
      <c r="CD19" s="181">
        <v>1</v>
      </c>
      <c r="CE19" s="181">
        <v>0</v>
      </c>
      <c r="CF19" s="181">
        <v>0</v>
      </c>
      <c r="CG19" s="181">
        <v>0</v>
      </c>
      <c r="CH19" s="181">
        <v>0</v>
      </c>
      <c r="CI19" s="181">
        <v>0</v>
      </c>
      <c r="CJ19" s="181">
        <v>3</v>
      </c>
      <c r="CK19" s="181">
        <v>1</v>
      </c>
      <c r="CL19" s="181">
        <v>11</v>
      </c>
      <c r="CM19" s="181">
        <v>3</v>
      </c>
      <c r="CN19" s="181">
        <v>0</v>
      </c>
      <c r="CO19" s="181">
        <v>0</v>
      </c>
      <c r="CP19" s="181">
        <v>3</v>
      </c>
      <c r="CQ19" s="181">
        <v>3</v>
      </c>
      <c r="CR19" s="181">
        <v>5</v>
      </c>
      <c r="CS19" s="181">
        <v>3</v>
      </c>
      <c r="CT19" s="181">
        <v>9</v>
      </c>
      <c r="CU19" s="181">
        <v>4</v>
      </c>
      <c r="CV19" s="181">
        <v>10</v>
      </c>
      <c r="CW19" s="181">
        <v>4</v>
      </c>
      <c r="CX19" s="181">
        <v>9</v>
      </c>
      <c r="CY19" s="181">
        <v>8</v>
      </c>
      <c r="CZ19" s="181">
        <v>7</v>
      </c>
      <c r="DA19" s="181">
        <v>5</v>
      </c>
      <c r="DB19" s="181">
        <v>0</v>
      </c>
      <c r="DC19" s="181">
        <v>0</v>
      </c>
      <c r="DD19" s="181">
        <v>0</v>
      </c>
      <c r="DE19" s="181">
        <v>0</v>
      </c>
      <c r="DF19" s="181">
        <v>0</v>
      </c>
      <c r="DG19" s="181">
        <v>0</v>
      </c>
      <c r="DH19" s="181">
        <v>5</v>
      </c>
      <c r="DI19" s="181">
        <v>2</v>
      </c>
      <c r="DJ19" s="181">
        <v>10</v>
      </c>
      <c r="DK19" s="181">
        <v>4</v>
      </c>
      <c r="DL19" s="181">
        <v>0</v>
      </c>
      <c r="DM19" s="181">
        <v>0</v>
      </c>
      <c r="DN19" s="181">
        <v>6</v>
      </c>
      <c r="DO19" s="181">
        <v>0</v>
      </c>
      <c r="DP19" s="181">
        <v>8</v>
      </c>
      <c r="DQ19" s="181">
        <v>6</v>
      </c>
      <c r="DR19" s="181">
        <v>1</v>
      </c>
      <c r="DS19" s="181">
        <v>1</v>
      </c>
      <c r="DT19" s="181">
        <v>8</v>
      </c>
      <c r="DU19" s="181">
        <v>1</v>
      </c>
      <c r="DV19" s="181">
        <v>0</v>
      </c>
      <c r="DW19" s="181">
        <v>0</v>
      </c>
      <c r="DX19" s="181">
        <v>0</v>
      </c>
      <c r="DY19" s="181">
        <v>0</v>
      </c>
    </row>
    <row r="20" spans="2:129" ht="13.5">
      <c r="B20" s="230"/>
      <c r="C20" s="248" t="s">
        <v>10</v>
      </c>
      <c r="D20" s="249"/>
      <c r="E20" s="257">
        <f>VLOOKUP($B$14,$Y$5:$DY$642,56,FALSE)</f>
        <v>0</v>
      </c>
      <c r="F20" s="192">
        <f>VLOOKUP($B$14,$Y$5:$DY$642,57,FALSE)</f>
        <v>0</v>
      </c>
      <c r="G20" s="193">
        <f aca="true" t="shared" si="0" ref="G20:G45">IF($F$45=0,0,F20/$F$45)</f>
        <v>0</v>
      </c>
      <c r="H20" s="258">
        <f aca="true" t="shared" si="1" ref="H20:H45">IF(E20=0,0,F20/E20)</f>
        <v>0</v>
      </c>
      <c r="I20" s="257">
        <f>VLOOKUP($B$14,$Y$5:$DY$642,4,FALSE)</f>
        <v>0</v>
      </c>
      <c r="J20" s="192">
        <f>VLOOKUP($B$14,$Y$5:$DY$642,5,FALSE)</f>
        <v>0</v>
      </c>
      <c r="K20" s="193">
        <f aca="true" t="shared" si="2" ref="K20:K45">IF($J$45=0,0,J20/$J$45)</f>
        <v>0</v>
      </c>
      <c r="L20" s="258">
        <f aca="true" t="shared" si="3" ref="L20:L44">IF(I20=0,0,J20/I20)</f>
        <v>0</v>
      </c>
      <c r="M20" s="238"/>
      <c r="N20" s="188"/>
      <c r="O20" s="171" t="s">
        <v>1326</v>
      </c>
      <c r="P20" s="172" t="s">
        <v>1353</v>
      </c>
      <c r="Q20" s="171" t="s">
        <v>325</v>
      </c>
      <c r="R20" s="171" t="s">
        <v>1457</v>
      </c>
      <c r="S20" s="173">
        <v>20</v>
      </c>
      <c r="U20" s="179" t="s">
        <v>1326</v>
      </c>
      <c r="V20" s="179" t="s">
        <v>1353</v>
      </c>
      <c r="W20" s="179" t="s">
        <v>1448</v>
      </c>
      <c r="X20" s="179">
        <v>16</v>
      </c>
      <c r="Y20" s="179" t="s">
        <v>1458</v>
      </c>
      <c r="Z20" s="113">
        <v>0</v>
      </c>
      <c r="AA20" s="113">
        <v>0</v>
      </c>
      <c r="AB20" s="113">
        <v>0</v>
      </c>
      <c r="AC20" s="113">
        <v>0</v>
      </c>
      <c r="AD20" s="113">
        <v>42</v>
      </c>
      <c r="AE20" s="113">
        <v>48</v>
      </c>
      <c r="AF20" s="113">
        <v>0</v>
      </c>
      <c r="AG20" s="113">
        <v>0</v>
      </c>
      <c r="AH20" s="113">
        <v>5</v>
      </c>
      <c r="AI20" s="113">
        <v>5</v>
      </c>
      <c r="AJ20" s="113">
        <v>97</v>
      </c>
      <c r="AK20" s="113">
        <v>50</v>
      </c>
      <c r="AL20" s="113">
        <v>120</v>
      </c>
      <c r="AM20" s="113">
        <v>85</v>
      </c>
      <c r="AN20" s="113">
        <v>0</v>
      </c>
      <c r="AO20" s="113">
        <v>0</v>
      </c>
      <c r="AP20" s="113">
        <v>0</v>
      </c>
      <c r="AQ20" s="113">
        <v>8</v>
      </c>
      <c r="AR20" s="113">
        <v>174</v>
      </c>
      <c r="AS20" s="113">
        <v>140</v>
      </c>
      <c r="AT20" s="113">
        <v>64</v>
      </c>
      <c r="AU20" s="113">
        <v>53</v>
      </c>
      <c r="AV20" s="113">
        <v>205</v>
      </c>
      <c r="AW20" s="113">
        <v>160</v>
      </c>
      <c r="AX20" s="113">
        <v>15</v>
      </c>
      <c r="AY20" s="113">
        <v>16</v>
      </c>
      <c r="AZ20" s="113">
        <v>25</v>
      </c>
      <c r="BA20" s="113">
        <v>19</v>
      </c>
      <c r="BB20" s="113">
        <v>0</v>
      </c>
      <c r="BC20" s="113">
        <v>0</v>
      </c>
      <c r="BD20" s="113">
        <v>0</v>
      </c>
      <c r="BE20" s="113">
        <v>0</v>
      </c>
      <c r="BF20" s="113">
        <v>1</v>
      </c>
      <c r="BG20" s="113">
        <v>2</v>
      </c>
      <c r="BH20" s="113">
        <v>908</v>
      </c>
      <c r="BI20" s="113">
        <v>262</v>
      </c>
      <c r="BJ20" s="113">
        <v>59</v>
      </c>
      <c r="BK20" s="113">
        <v>25</v>
      </c>
      <c r="BL20" s="113">
        <v>6</v>
      </c>
      <c r="BM20" s="113">
        <v>15</v>
      </c>
      <c r="BN20" s="113">
        <v>52</v>
      </c>
      <c r="BO20" s="113">
        <v>52</v>
      </c>
      <c r="BP20" s="113">
        <v>1</v>
      </c>
      <c r="BQ20" s="113">
        <v>0</v>
      </c>
      <c r="BR20" s="113">
        <v>103</v>
      </c>
      <c r="BS20" s="113">
        <v>42</v>
      </c>
      <c r="BT20" s="113">
        <v>0</v>
      </c>
      <c r="BU20" s="113">
        <v>0</v>
      </c>
      <c r="BV20" s="179">
        <v>0</v>
      </c>
      <c r="BW20" s="179">
        <v>0</v>
      </c>
      <c r="BX20" s="179">
        <v>0</v>
      </c>
      <c r="BY20" s="179">
        <v>0</v>
      </c>
      <c r="BZ20" s="181">
        <v>0</v>
      </c>
      <c r="CA20" s="181">
        <v>0</v>
      </c>
      <c r="CB20" s="181">
        <v>0</v>
      </c>
      <c r="CC20" s="181">
        <v>0</v>
      </c>
      <c r="CD20" s="181">
        <v>0</v>
      </c>
      <c r="CE20" s="181">
        <v>0</v>
      </c>
      <c r="CF20" s="181">
        <v>0</v>
      </c>
      <c r="CG20" s="181">
        <v>0</v>
      </c>
      <c r="CH20" s="181">
        <v>6</v>
      </c>
      <c r="CI20" s="181">
        <v>4</v>
      </c>
      <c r="CJ20" s="181">
        <v>7</v>
      </c>
      <c r="CK20" s="181">
        <v>3</v>
      </c>
      <c r="CL20" s="181">
        <v>10</v>
      </c>
      <c r="CM20" s="181">
        <v>5</v>
      </c>
      <c r="CN20" s="181">
        <v>0</v>
      </c>
      <c r="CO20" s="181">
        <v>0</v>
      </c>
      <c r="CP20" s="181">
        <v>0</v>
      </c>
      <c r="CQ20" s="181">
        <v>0</v>
      </c>
      <c r="CR20" s="181">
        <v>9</v>
      </c>
      <c r="CS20" s="181">
        <v>3</v>
      </c>
      <c r="CT20" s="181">
        <v>8</v>
      </c>
      <c r="CU20" s="181">
        <v>1</v>
      </c>
      <c r="CV20" s="181">
        <v>4</v>
      </c>
      <c r="CW20" s="181">
        <v>0</v>
      </c>
      <c r="CX20" s="181">
        <v>1</v>
      </c>
      <c r="CY20" s="181">
        <v>0</v>
      </c>
      <c r="CZ20" s="181">
        <v>9</v>
      </c>
      <c r="DA20" s="181">
        <v>1</v>
      </c>
      <c r="DB20" s="181">
        <v>0</v>
      </c>
      <c r="DC20" s="181">
        <v>0</v>
      </c>
      <c r="DD20" s="181">
        <v>0</v>
      </c>
      <c r="DE20" s="181">
        <v>0</v>
      </c>
      <c r="DF20" s="181">
        <v>8</v>
      </c>
      <c r="DG20" s="181">
        <v>2</v>
      </c>
      <c r="DH20" s="181">
        <v>9</v>
      </c>
      <c r="DI20" s="181">
        <v>1</v>
      </c>
      <c r="DJ20" s="181">
        <v>10</v>
      </c>
      <c r="DK20" s="181">
        <v>1</v>
      </c>
      <c r="DL20" s="181">
        <v>10</v>
      </c>
      <c r="DM20" s="181">
        <v>9</v>
      </c>
      <c r="DN20" s="181">
        <v>8</v>
      </c>
      <c r="DO20" s="181">
        <v>3</v>
      </c>
      <c r="DP20" s="181">
        <v>6</v>
      </c>
      <c r="DQ20" s="181">
        <v>0</v>
      </c>
      <c r="DR20" s="181">
        <v>5</v>
      </c>
      <c r="DS20" s="181">
        <v>0</v>
      </c>
      <c r="DT20" s="181">
        <v>0</v>
      </c>
      <c r="DU20" s="181">
        <v>0</v>
      </c>
      <c r="DV20" s="181">
        <v>0</v>
      </c>
      <c r="DW20" s="181">
        <v>0</v>
      </c>
      <c r="DX20" s="181">
        <v>0</v>
      </c>
      <c r="DY20" s="181">
        <v>0</v>
      </c>
    </row>
    <row r="21" spans="1:130" s="191" customFormat="1" ht="13.5">
      <c r="A21" s="187"/>
      <c r="B21" s="230"/>
      <c r="C21" s="248" t="s">
        <v>11</v>
      </c>
      <c r="D21" s="249"/>
      <c r="E21" s="257">
        <f>VLOOKUP($B$14,$Y$5:$DY$642,58,FALSE)</f>
        <v>0</v>
      </c>
      <c r="F21" s="192">
        <f>VLOOKUP($B$14,$Y$5:$DY$642,59,FALSE)</f>
        <v>0</v>
      </c>
      <c r="G21" s="193">
        <f t="shared" si="0"/>
        <v>0</v>
      </c>
      <c r="H21" s="258">
        <f t="shared" si="1"/>
        <v>0</v>
      </c>
      <c r="I21" s="257">
        <f>VLOOKUP($B$14,$Y$5:$DY$642,6,FALSE)</f>
        <v>0</v>
      </c>
      <c r="J21" s="192">
        <f>VLOOKUP($B$14,$Y$5:$DY$642,7,FALSE)</f>
        <v>0</v>
      </c>
      <c r="K21" s="193">
        <f t="shared" si="2"/>
        <v>0</v>
      </c>
      <c r="L21" s="258">
        <f t="shared" si="3"/>
        <v>0</v>
      </c>
      <c r="M21" s="238"/>
      <c r="N21" s="188"/>
      <c r="O21" s="171" t="s">
        <v>1326</v>
      </c>
      <c r="P21" s="172" t="s">
        <v>1353</v>
      </c>
      <c r="Q21" s="171" t="s">
        <v>1459</v>
      </c>
      <c r="R21" s="171" t="s">
        <v>1460</v>
      </c>
      <c r="S21" s="173">
        <v>21</v>
      </c>
      <c r="T21" s="189"/>
      <c r="U21" s="179" t="s">
        <v>1326</v>
      </c>
      <c r="V21" s="179" t="s">
        <v>1353</v>
      </c>
      <c r="W21" s="179" t="s">
        <v>316</v>
      </c>
      <c r="X21" s="179">
        <v>17</v>
      </c>
      <c r="Y21" s="179" t="s">
        <v>1461</v>
      </c>
      <c r="Z21" s="113">
        <v>0</v>
      </c>
      <c r="AA21" s="113">
        <v>0</v>
      </c>
      <c r="AB21" s="113">
        <v>7</v>
      </c>
      <c r="AC21" s="113">
        <v>3</v>
      </c>
      <c r="AD21" s="113">
        <v>1227</v>
      </c>
      <c r="AE21" s="113">
        <v>296</v>
      </c>
      <c r="AF21" s="113">
        <v>0</v>
      </c>
      <c r="AG21" s="113">
        <v>0</v>
      </c>
      <c r="AH21" s="113">
        <v>0</v>
      </c>
      <c r="AI21" s="113">
        <v>0</v>
      </c>
      <c r="AJ21" s="113">
        <v>642</v>
      </c>
      <c r="AK21" s="113">
        <v>162</v>
      </c>
      <c r="AL21" s="113">
        <v>541</v>
      </c>
      <c r="AM21" s="113">
        <v>199</v>
      </c>
      <c r="AN21" s="113">
        <v>53</v>
      </c>
      <c r="AO21" s="113">
        <v>27</v>
      </c>
      <c r="AP21" s="113">
        <v>149</v>
      </c>
      <c r="AQ21" s="113">
        <v>51</v>
      </c>
      <c r="AR21" s="113">
        <v>244</v>
      </c>
      <c r="AS21" s="113">
        <v>64</v>
      </c>
      <c r="AT21" s="113">
        <v>235</v>
      </c>
      <c r="AU21" s="113">
        <v>46</v>
      </c>
      <c r="AV21" s="113">
        <v>821</v>
      </c>
      <c r="AW21" s="113">
        <v>228</v>
      </c>
      <c r="AX21" s="113">
        <v>168</v>
      </c>
      <c r="AY21" s="113">
        <v>50</v>
      </c>
      <c r="AZ21" s="113">
        <v>104</v>
      </c>
      <c r="BA21" s="113">
        <v>39</v>
      </c>
      <c r="BB21" s="113">
        <v>0</v>
      </c>
      <c r="BC21" s="113">
        <v>0</v>
      </c>
      <c r="BD21" s="113">
        <v>0</v>
      </c>
      <c r="BE21" s="113">
        <v>0</v>
      </c>
      <c r="BF21" s="113">
        <v>41</v>
      </c>
      <c r="BG21" s="113">
        <v>0</v>
      </c>
      <c r="BH21" s="113">
        <v>1126</v>
      </c>
      <c r="BI21" s="113">
        <v>327</v>
      </c>
      <c r="BJ21" s="113">
        <v>0</v>
      </c>
      <c r="BK21" s="113">
        <v>0</v>
      </c>
      <c r="BL21" s="113">
        <v>264</v>
      </c>
      <c r="BM21" s="113">
        <v>45</v>
      </c>
      <c r="BN21" s="113">
        <v>303</v>
      </c>
      <c r="BO21" s="113">
        <v>55</v>
      </c>
      <c r="BP21" s="113">
        <v>35</v>
      </c>
      <c r="BQ21" s="113">
        <v>5</v>
      </c>
      <c r="BR21" s="113">
        <v>338</v>
      </c>
      <c r="BS21" s="113">
        <v>73</v>
      </c>
      <c r="BT21" s="113">
        <v>36</v>
      </c>
      <c r="BU21" s="113">
        <v>16</v>
      </c>
      <c r="BV21" s="179">
        <v>495</v>
      </c>
      <c r="BW21" s="179">
        <v>111</v>
      </c>
      <c r="BX21" s="179">
        <v>1272</v>
      </c>
      <c r="BY21" s="179">
        <v>232</v>
      </c>
      <c r="BZ21" s="181">
        <v>0</v>
      </c>
      <c r="CA21" s="181">
        <v>0</v>
      </c>
      <c r="CB21" s="181">
        <v>12</v>
      </c>
      <c r="CC21" s="181">
        <v>11</v>
      </c>
      <c r="CD21" s="181">
        <v>6</v>
      </c>
      <c r="CE21" s="181">
        <v>6</v>
      </c>
      <c r="CF21" s="181">
        <v>0</v>
      </c>
      <c r="CG21" s="181">
        <v>0</v>
      </c>
      <c r="CH21" s="181">
        <v>0</v>
      </c>
      <c r="CI21" s="181">
        <v>0</v>
      </c>
      <c r="CJ21" s="181">
        <v>3</v>
      </c>
      <c r="CK21" s="181">
        <v>3</v>
      </c>
      <c r="CL21" s="181">
        <v>9</v>
      </c>
      <c r="CM21" s="181">
        <v>7</v>
      </c>
      <c r="CN21" s="181">
        <v>3</v>
      </c>
      <c r="CO21" s="181">
        <v>0</v>
      </c>
      <c r="CP21" s="181">
        <v>3</v>
      </c>
      <c r="CQ21" s="181">
        <v>2</v>
      </c>
      <c r="CR21" s="181">
        <v>10</v>
      </c>
      <c r="CS21" s="181">
        <v>4</v>
      </c>
      <c r="CT21" s="181">
        <v>0</v>
      </c>
      <c r="CU21" s="181">
        <v>0</v>
      </c>
      <c r="CV21" s="181">
        <v>12</v>
      </c>
      <c r="CW21" s="181">
        <v>8</v>
      </c>
      <c r="CX21" s="181">
        <v>0</v>
      </c>
      <c r="CY21" s="181">
        <v>0</v>
      </c>
      <c r="CZ21" s="181">
        <v>5</v>
      </c>
      <c r="DA21" s="181">
        <v>4</v>
      </c>
      <c r="DB21" s="181">
        <v>0</v>
      </c>
      <c r="DC21" s="181">
        <v>0</v>
      </c>
      <c r="DD21" s="181">
        <v>0</v>
      </c>
      <c r="DE21" s="181">
        <v>0</v>
      </c>
      <c r="DF21" s="181">
        <v>5</v>
      </c>
      <c r="DG21" s="181">
        <v>0</v>
      </c>
      <c r="DH21" s="181">
        <v>6</v>
      </c>
      <c r="DI21" s="181">
        <v>0</v>
      </c>
      <c r="DJ21" s="181">
        <v>0</v>
      </c>
      <c r="DK21" s="181">
        <v>0</v>
      </c>
      <c r="DL21" s="181">
        <v>1</v>
      </c>
      <c r="DM21" s="181">
        <v>1</v>
      </c>
      <c r="DN21" s="181">
        <v>2</v>
      </c>
      <c r="DO21" s="181">
        <v>1</v>
      </c>
      <c r="DP21" s="181">
        <v>7</v>
      </c>
      <c r="DQ21" s="181">
        <v>0</v>
      </c>
      <c r="DR21" s="181">
        <v>0</v>
      </c>
      <c r="DS21" s="181">
        <v>0</v>
      </c>
      <c r="DT21" s="181">
        <v>1</v>
      </c>
      <c r="DU21" s="181">
        <v>0</v>
      </c>
      <c r="DV21" s="181">
        <v>4</v>
      </c>
      <c r="DW21" s="181">
        <v>2</v>
      </c>
      <c r="DX21" s="181">
        <v>3</v>
      </c>
      <c r="DY21" s="181">
        <v>3</v>
      </c>
      <c r="DZ21" s="190"/>
    </row>
    <row r="22" spans="2:129" ht="13.5">
      <c r="B22" s="230"/>
      <c r="C22" s="248" t="s">
        <v>12</v>
      </c>
      <c r="D22" s="249"/>
      <c r="E22" s="257">
        <f>VLOOKUP($B$14,$Y$5:$DY$642,60,FALSE)</f>
        <v>0</v>
      </c>
      <c r="F22" s="192">
        <f>VLOOKUP($B$14,$Y$5:$DY$642,61,FALSE)</f>
        <v>0</v>
      </c>
      <c r="G22" s="193">
        <f t="shared" si="0"/>
        <v>0</v>
      </c>
      <c r="H22" s="258">
        <f t="shared" si="1"/>
        <v>0</v>
      </c>
      <c r="I22" s="257">
        <f>VLOOKUP($B$14,$Y$5:$DY$642,8,FALSE)</f>
        <v>0</v>
      </c>
      <c r="J22" s="192">
        <f>VLOOKUP($B$14,$Y$5:$DY$642,9,FALSE)</f>
        <v>0</v>
      </c>
      <c r="K22" s="193">
        <f t="shared" si="2"/>
        <v>0</v>
      </c>
      <c r="L22" s="258">
        <f t="shared" si="3"/>
        <v>0</v>
      </c>
      <c r="M22" s="238"/>
      <c r="N22" s="188"/>
      <c r="O22" s="171" t="s">
        <v>1326</v>
      </c>
      <c r="P22" s="172" t="s">
        <v>1353</v>
      </c>
      <c r="Q22" s="171" t="s">
        <v>320</v>
      </c>
      <c r="R22" s="171" t="s">
        <v>1462</v>
      </c>
      <c r="S22" s="173">
        <v>22</v>
      </c>
      <c r="U22" s="179" t="s">
        <v>1326</v>
      </c>
      <c r="V22" s="179" t="s">
        <v>1353</v>
      </c>
      <c r="W22" s="179" t="s">
        <v>323</v>
      </c>
      <c r="X22" s="179">
        <v>18</v>
      </c>
      <c r="Y22" s="179" t="s">
        <v>1463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357</v>
      </c>
      <c r="AG22" s="113">
        <v>161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65</v>
      </c>
      <c r="BO22" s="113">
        <v>27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79">
        <v>141</v>
      </c>
      <c r="BW22" s="179">
        <v>21</v>
      </c>
      <c r="BX22" s="179">
        <v>165</v>
      </c>
      <c r="BY22" s="179">
        <v>30</v>
      </c>
      <c r="BZ22" s="181">
        <v>0</v>
      </c>
      <c r="CA22" s="181">
        <v>0</v>
      </c>
      <c r="CB22" s="181">
        <v>0</v>
      </c>
      <c r="CC22" s="181">
        <v>0</v>
      </c>
      <c r="CD22" s="181">
        <v>0</v>
      </c>
      <c r="CE22" s="181">
        <v>0</v>
      </c>
      <c r="CF22" s="181">
        <v>0</v>
      </c>
      <c r="CG22" s="181">
        <v>0</v>
      </c>
      <c r="CH22" s="181">
        <v>0</v>
      </c>
      <c r="CI22" s="181">
        <v>0</v>
      </c>
      <c r="CJ22" s="181">
        <v>0</v>
      </c>
      <c r="CK22" s="181">
        <v>0</v>
      </c>
      <c r="CL22" s="181">
        <v>0</v>
      </c>
      <c r="CM22" s="181">
        <v>0</v>
      </c>
      <c r="CN22" s="181">
        <v>0</v>
      </c>
      <c r="CO22" s="181">
        <v>0</v>
      </c>
      <c r="CP22" s="181">
        <v>0</v>
      </c>
      <c r="CQ22" s="181">
        <v>0</v>
      </c>
      <c r="CR22" s="181">
        <v>0</v>
      </c>
      <c r="CS22" s="181">
        <v>0</v>
      </c>
      <c r="CT22" s="181">
        <v>0</v>
      </c>
      <c r="CU22" s="181">
        <v>0</v>
      </c>
      <c r="CV22" s="181">
        <v>0</v>
      </c>
      <c r="CW22" s="181">
        <v>0</v>
      </c>
      <c r="CX22" s="181">
        <v>0</v>
      </c>
      <c r="CY22" s="181">
        <v>0</v>
      </c>
      <c r="CZ22" s="181">
        <v>0</v>
      </c>
      <c r="DA22" s="181">
        <v>0</v>
      </c>
      <c r="DB22" s="181">
        <v>0</v>
      </c>
      <c r="DC22" s="181">
        <v>0</v>
      </c>
      <c r="DD22" s="181">
        <v>0</v>
      </c>
      <c r="DE22" s="181">
        <v>0</v>
      </c>
      <c r="DF22" s="181">
        <v>0</v>
      </c>
      <c r="DG22" s="181">
        <v>0</v>
      </c>
      <c r="DH22" s="181">
        <v>0</v>
      </c>
      <c r="DI22" s="181">
        <v>0</v>
      </c>
      <c r="DJ22" s="181">
        <v>0</v>
      </c>
      <c r="DK22" s="181">
        <v>0</v>
      </c>
      <c r="DL22" s="181">
        <v>0</v>
      </c>
      <c r="DM22" s="181">
        <v>0</v>
      </c>
      <c r="DN22" s="181">
        <v>4</v>
      </c>
      <c r="DO22" s="181">
        <v>4</v>
      </c>
      <c r="DP22" s="181">
        <v>0</v>
      </c>
      <c r="DQ22" s="181">
        <v>0</v>
      </c>
      <c r="DR22" s="181">
        <v>0</v>
      </c>
      <c r="DS22" s="181">
        <v>0</v>
      </c>
      <c r="DT22" s="181">
        <v>0</v>
      </c>
      <c r="DU22" s="181">
        <v>0</v>
      </c>
      <c r="DV22" s="181">
        <v>9</v>
      </c>
      <c r="DW22" s="181">
        <v>3</v>
      </c>
      <c r="DX22" s="181">
        <v>0</v>
      </c>
      <c r="DY22" s="181">
        <v>0</v>
      </c>
    </row>
    <row r="23" spans="2:129" ht="13.5">
      <c r="B23" s="237"/>
      <c r="C23" s="248" t="s">
        <v>13</v>
      </c>
      <c r="D23" s="250"/>
      <c r="E23" s="257">
        <f>VLOOKUP($B$14,$Y$5:$DY$642,62,FALSE)</f>
        <v>0</v>
      </c>
      <c r="F23" s="192">
        <f>VLOOKUP($B$14,$Y$5:$DY$642,63,FALSE)</f>
        <v>0</v>
      </c>
      <c r="G23" s="193">
        <f t="shared" si="0"/>
        <v>0</v>
      </c>
      <c r="H23" s="258">
        <f t="shared" si="1"/>
        <v>0</v>
      </c>
      <c r="I23" s="257">
        <f>VLOOKUP($B$14,$Y$5:$DY$642,10,FALSE)</f>
        <v>0</v>
      </c>
      <c r="J23" s="192">
        <f>VLOOKUP($B$14,$Y$5:$DY$642,11,FALSE)</f>
        <v>0</v>
      </c>
      <c r="K23" s="193">
        <f t="shared" si="2"/>
        <v>0</v>
      </c>
      <c r="L23" s="258">
        <f t="shared" si="3"/>
        <v>0</v>
      </c>
      <c r="M23" s="238"/>
      <c r="N23" s="188"/>
      <c r="O23" s="171" t="s">
        <v>1326</v>
      </c>
      <c r="P23" s="172" t="s">
        <v>1353</v>
      </c>
      <c r="Q23" s="171" t="s">
        <v>326</v>
      </c>
      <c r="R23" s="171" t="s">
        <v>1464</v>
      </c>
      <c r="S23" s="173">
        <v>23</v>
      </c>
      <c r="U23" s="179" t="s">
        <v>1326</v>
      </c>
      <c r="V23" s="179" t="s">
        <v>1353</v>
      </c>
      <c r="W23" s="179" t="s">
        <v>1454</v>
      </c>
      <c r="X23" s="179">
        <v>19</v>
      </c>
      <c r="Y23" s="179" t="s">
        <v>1465</v>
      </c>
      <c r="Z23" s="113">
        <v>2478</v>
      </c>
      <c r="AA23" s="113">
        <v>207</v>
      </c>
      <c r="AB23" s="113">
        <v>700</v>
      </c>
      <c r="AC23" s="113">
        <v>82</v>
      </c>
      <c r="AD23" s="113">
        <v>2537</v>
      </c>
      <c r="AE23" s="113">
        <v>274</v>
      </c>
      <c r="AF23" s="113">
        <v>102</v>
      </c>
      <c r="AG23" s="113">
        <v>8</v>
      </c>
      <c r="AH23" s="113">
        <v>1192</v>
      </c>
      <c r="AI23" s="113">
        <v>152</v>
      </c>
      <c r="AJ23" s="113">
        <v>704</v>
      </c>
      <c r="AK23" s="113">
        <v>56</v>
      </c>
      <c r="AL23" s="113">
        <v>1826</v>
      </c>
      <c r="AM23" s="113">
        <v>241</v>
      </c>
      <c r="AN23" s="113">
        <v>46</v>
      </c>
      <c r="AO23" s="113">
        <v>7</v>
      </c>
      <c r="AP23" s="113">
        <v>81</v>
      </c>
      <c r="AQ23" s="113">
        <v>5</v>
      </c>
      <c r="AR23" s="113">
        <v>1472</v>
      </c>
      <c r="AS23" s="113">
        <v>225</v>
      </c>
      <c r="AT23" s="113">
        <v>1242</v>
      </c>
      <c r="AU23" s="113">
        <v>222</v>
      </c>
      <c r="AV23" s="113">
        <v>1059</v>
      </c>
      <c r="AW23" s="113">
        <v>122</v>
      </c>
      <c r="AX23" s="113">
        <v>0</v>
      </c>
      <c r="AY23" s="113">
        <v>0</v>
      </c>
      <c r="AZ23" s="113">
        <v>633</v>
      </c>
      <c r="BA23" s="113">
        <v>92</v>
      </c>
      <c r="BB23" s="113">
        <v>342</v>
      </c>
      <c r="BC23" s="113">
        <v>47</v>
      </c>
      <c r="BD23" s="113">
        <v>14</v>
      </c>
      <c r="BE23" s="113">
        <v>1</v>
      </c>
      <c r="BF23" s="113">
        <v>840</v>
      </c>
      <c r="BG23" s="113">
        <v>94</v>
      </c>
      <c r="BH23" s="113">
        <v>309</v>
      </c>
      <c r="BI23" s="113">
        <v>58</v>
      </c>
      <c r="BJ23" s="113">
        <v>825</v>
      </c>
      <c r="BK23" s="113">
        <v>132</v>
      </c>
      <c r="BL23" s="113">
        <v>715</v>
      </c>
      <c r="BM23" s="113">
        <v>92</v>
      </c>
      <c r="BN23" s="113">
        <v>119</v>
      </c>
      <c r="BO23" s="113">
        <v>18</v>
      </c>
      <c r="BP23" s="113">
        <v>460</v>
      </c>
      <c r="BQ23" s="113">
        <v>76</v>
      </c>
      <c r="BR23" s="113">
        <v>686</v>
      </c>
      <c r="BS23" s="113">
        <v>72</v>
      </c>
      <c r="BT23" s="113">
        <v>868</v>
      </c>
      <c r="BU23" s="113">
        <v>117</v>
      </c>
      <c r="BV23" s="179">
        <v>0</v>
      </c>
      <c r="BW23" s="179">
        <v>0</v>
      </c>
      <c r="BX23" s="179">
        <v>0</v>
      </c>
      <c r="BY23" s="179">
        <v>0</v>
      </c>
      <c r="BZ23" s="181">
        <v>11</v>
      </c>
      <c r="CA23" s="181">
        <v>6</v>
      </c>
      <c r="CB23" s="181">
        <v>10</v>
      </c>
      <c r="CC23" s="181">
        <v>3</v>
      </c>
      <c r="CD23" s="181">
        <v>7</v>
      </c>
      <c r="CE23" s="181">
        <v>2</v>
      </c>
      <c r="CF23" s="181">
        <v>9</v>
      </c>
      <c r="CG23" s="181">
        <v>0</v>
      </c>
      <c r="CH23" s="181">
        <v>10</v>
      </c>
      <c r="CI23" s="181">
        <v>9</v>
      </c>
      <c r="CJ23" s="181">
        <v>9</v>
      </c>
      <c r="CK23" s="181">
        <v>9</v>
      </c>
      <c r="CL23" s="181">
        <v>3</v>
      </c>
      <c r="CM23" s="181">
        <v>2</v>
      </c>
      <c r="CN23" s="181">
        <v>0</v>
      </c>
      <c r="CO23" s="181">
        <v>0</v>
      </c>
      <c r="CP23" s="181">
        <v>0</v>
      </c>
      <c r="CQ23" s="181">
        <v>0</v>
      </c>
      <c r="CR23" s="181">
        <v>0</v>
      </c>
      <c r="CS23" s="181">
        <v>0</v>
      </c>
      <c r="CT23" s="181">
        <v>2</v>
      </c>
      <c r="CU23" s="181">
        <v>2</v>
      </c>
      <c r="CV23" s="181">
        <v>4</v>
      </c>
      <c r="CW23" s="181">
        <v>1</v>
      </c>
      <c r="CX23" s="181">
        <v>0</v>
      </c>
      <c r="CY23" s="181">
        <v>0</v>
      </c>
      <c r="CZ23" s="181">
        <v>10</v>
      </c>
      <c r="DA23" s="181">
        <v>7</v>
      </c>
      <c r="DB23" s="181">
        <v>7</v>
      </c>
      <c r="DC23" s="181">
        <v>3</v>
      </c>
      <c r="DD23" s="181">
        <v>2</v>
      </c>
      <c r="DE23" s="181">
        <v>2</v>
      </c>
      <c r="DF23" s="181">
        <v>0</v>
      </c>
      <c r="DG23" s="181">
        <v>0</v>
      </c>
      <c r="DH23" s="181">
        <v>11</v>
      </c>
      <c r="DI23" s="181">
        <v>10</v>
      </c>
      <c r="DJ23" s="181">
        <v>12</v>
      </c>
      <c r="DK23" s="181">
        <v>10</v>
      </c>
      <c r="DL23" s="181">
        <v>4</v>
      </c>
      <c r="DM23" s="181">
        <v>3</v>
      </c>
      <c r="DN23" s="181">
        <v>0</v>
      </c>
      <c r="DO23" s="181">
        <v>0</v>
      </c>
      <c r="DP23" s="181">
        <v>4</v>
      </c>
      <c r="DQ23" s="181">
        <v>4</v>
      </c>
      <c r="DR23" s="181">
        <v>2</v>
      </c>
      <c r="DS23" s="181">
        <v>2</v>
      </c>
      <c r="DT23" s="181">
        <v>8</v>
      </c>
      <c r="DU23" s="181">
        <v>4</v>
      </c>
      <c r="DV23" s="181">
        <v>0</v>
      </c>
      <c r="DW23" s="181">
        <v>0</v>
      </c>
      <c r="DX23" s="181">
        <v>0</v>
      </c>
      <c r="DY23" s="181">
        <v>0</v>
      </c>
    </row>
    <row r="24" spans="2:129" ht="13.5">
      <c r="B24" s="230"/>
      <c r="C24" s="248" t="s">
        <v>14</v>
      </c>
      <c r="D24" s="249"/>
      <c r="E24" s="257">
        <f>VLOOKUP($B$14,$Y$5:$DY$642,64,FALSE)</f>
        <v>10</v>
      </c>
      <c r="F24" s="192">
        <f>VLOOKUP($B$14,$Y$5:$DY$642,65,FALSE)</f>
        <v>0</v>
      </c>
      <c r="G24" s="193">
        <f t="shared" si="0"/>
        <v>0</v>
      </c>
      <c r="H24" s="258">
        <f t="shared" si="1"/>
        <v>0</v>
      </c>
      <c r="I24" s="257">
        <f>VLOOKUP($B$14,$Y$5:$DY$642,12,FALSE)</f>
        <v>5</v>
      </c>
      <c r="J24" s="192">
        <f>VLOOKUP($B$14,$Y$5:$DY$642,13,FALSE)</f>
        <v>0</v>
      </c>
      <c r="K24" s="193">
        <f t="shared" si="2"/>
        <v>0</v>
      </c>
      <c r="L24" s="258">
        <f t="shared" si="3"/>
        <v>0</v>
      </c>
      <c r="M24" s="238"/>
      <c r="N24" s="188"/>
      <c r="O24" s="171" t="s">
        <v>1326</v>
      </c>
      <c r="P24" s="172" t="s">
        <v>1353</v>
      </c>
      <c r="Q24" s="171" t="s">
        <v>1466</v>
      </c>
      <c r="R24" s="171" t="s">
        <v>1467</v>
      </c>
      <c r="S24" s="173">
        <v>24</v>
      </c>
      <c r="U24" s="179" t="s">
        <v>1326</v>
      </c>
      <c r="V24" s="179" t="s">
        <v>1353</v>
      </c>
      <c r="W24" s="179" t="s">
        <v>325</v>
      </c>
      <c r="X24" s="179">
        <v>20</v>
      </c>
      <c r="Y24" s="179" t="s">
        <v>1355</v>
      </c>
      <c r="Z24" s="113">
        <v>0</v>
      </c>
      <c r="AA24" s="113">
        <v>0</v>
      </c>
      <c r="AB24" s="113">
        <v>943</v>
      </c>
      <c r="AC24" s="113">
        <v>161</v>
      </c>
      <c r="AD24" s="113">
        <v>1202</v>
      </c>
      <c r="AE24" s="113">
        <v>230</v>
      </c>
      <c r="AF24" s="113">
        <v>56</v>
      </c>
      <c r="AG24" s="113">
        <v>8</v>
      </c>
      <c r="AH24" s="113">
        <v>229</v>
      </c>
      <c r="AI24" s="113">
        <v>60</v>
      </c>
      <c r="AJ24" s="113">
        <v>1220</v>
      </c>
      <c r="AK24" s="113">
        <v>255</v>
      </c>
      <c r="AL24" s="113">
        <v>150</v>
      </c>
      <c r="AM24" s="113">
        <v>57</v>
      </c>
      <c r="AN24" s="113">
        <v>7</v>
      </c>
      <c r="AO24" s="113">
        <v>0</v>
      </c>
      <c r="AP24" s="113">
        <v>0</v>
      </c>
      <c r="AQ24" s="113">
        <v>0</v>
      </c>
      <c r="AR24" s="113">
        <v>346</v>
      </c>
      <c r="AS24" s="113">
        <v>64</v>
      </c>
      <c r="AT24" s="113">
        <v>581</v>
      </c>
      <c r="AU24" s="113">
        <v>106</v>
      </c>
      <c r="AV24" s="113">
        <v>800</v>
      </c>
      <c r="AW24" s="113">
        <v>142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118</v>
      </c>
      <c r="BI24" s="113">
        <v>38</v>
      </c>
      <c r="BJ24" s="113">
        <v>0</v>
      </c>
      <c r="BK24" s="113">
        <v>0</v>
      </c>
      <c r="BL24" s="113">
        <v>0</v>
      </c>
      <c r="BM24" s="113">
        <v>0</v>
      </c>
      <c r="BN24" s="113">
        <v>315</v>
      </c>
      <c r="BO24" s="113">
        <v>90</v>
      </c>
      <c r="BP24" s="113">
        <v>11</v>
      </c>
      <c r="BQ24" s="113">
        <v>2</v>
      </c>
      <c r="BR24" s="113">
        <v>439</v>
      </c>
      <c r="BS24" s="113">
        <v>88</v>
      </c>
      <c r="BT24" s="113">
        <v>0</v>
      </c>
      <c r="BU24" s="113">
        <v>0</v>
      </c>
      <c r="BV24" s="179">
        <v>41</v>
      </c>
      <c r="BW24" s="179">
        <v>12</v>
      </c>
      <c r="BX24" s="179">
        <v>13</v>
      </c>
      <c r="BY24" s="179">
        <v>7</v>
      </c>
      <c r="BZ24" s="181">
        <v>0</v>
      </c>
      <c r="CA24" s="181">
        <v>0</v>
      </c>
      <c r="CB24" s="181">
        <v>7</v>
      </c>
      <c r="CC24" s="181">
        <v>1</v>
      </c>
      <c r="CD24" s="181">
        <v>7</v>
      </c>
      <c r="CE24" s="181">
        <v>5</v>
      </c>
      <c r="CF24" s="181">
        <v>11</v>
      </c>
      <c r="CG24" s="181">
        <v>3</v>
      </c>
      <c r="CH24" s="181">
        <v>12</v>
      </c>
      <c r="CI24" s="181">
        <v>9</v>
      </c>
      <c r="CJ24" s="181">
        <v>3</v>
      </c>
      <c r="CK24" s="181">
        <v>1</v>
      </c>
      <c r="CL24" s="181">
        <v>7</v>
      </c>
      <c r="CM24" s="181">
        <v>2</v>
      </c>
      <c r="CN24" s="181">
        <v>9</v>
      </c>
      <c r="CO24" s="181">
        <v>0</v>
      </c>
      <c r="CP24" s="181">
        <v>0</v>
      </c>
      <c r="CQ24" s="181">
        <v>0</v>
      </c>
      <c r="CR24" s="181">
        <v>4</v>
      </c>
      <c r="CS24" s="181">
        <v>1</v>
      </c>
      <c r="CT24" s="181">
        <v>1</v>
      </c>
      <c r="CU24" s="181">
        <v>1</v>
      </c>
      <c r="CV24" s="181">
        <v>9</v>
      </c>
      <c r="CW24" s="181">
        <v>4</v>
      </c>
      <c r="CX24" s="181">
        <v>0</v>
      </c>
      <c r="CY24" s="181">
        <v>0</v>
      </c>
      <c r="CZ24" s="181">
        <v>0</v>
      </c>
      <c r="DA24" s="181">
        <v>0</v>
      </c>
      <c r="DB24" s="181">
        <v>0</v>
      </c>
      <c r="DC24" s="181">
        <v>0</v>
      </c>
      <c r="DD24" s="181">
        <v>0</v>
      </c>
      <c r="DE24" s="181">
        <v>0</v>
      </c>
      <c r="DF24" s="181">
        <v>0</v>
      </c>
      <c r="DG24" s="181">
        <v>0</v>
      </c>
      <c r="DH24" s="181">
        <v>9</v>
      </c>
      <c r="DI24" s="181">
        <v>9</v>
      </c>
      <c r="DJ24" s="181">
        <v>0</v>
      </c>
      <c r="DK24" s="181">
        <v>0</v>
      </c>
      <c r="DL24" s="181">
        <v>0</v>
      </c>
      <c r="DM24" s="181">
        <v>0</v>
      </c>
      <c r="DN24" s="181">
        <v>6</v>
      </c>
      <c r="DO24" s="181">
        <v>6</v>
      </c>
      <c r="DP24" s="181">
        <v>4</v>
      </c>
      <c r="DQ24" s="181">
        <v>2</v>
      </c>
      <c r="DR24" s="181">
        <v>8</v>
      </c>
      <c r="DS24" s="181">
        <v>2</v>
      </c>
      <c r="DT24" s="181">
        <v>0</v>
      </c>
      <c r="DU24" s="181">
        <v>0</v>
      </c>
      <c r="DV24" s="181">
        <v>0</v>
      </c>
      <c r="DW24" s="181">
        <v>0</v>
      </c>
      <c r="DX24" s="181">
        <v>11</v>
      </c>
      <c r="DY24" s="181">
        <v>5</v>
      </c>
    </row>
    <row r="25" spans="2:129" ht="13.5">
      <c r="B25" s="230"/>
      <c r="C25" s="248" t="s">
        <v>15</v>
      </c>
      <c r="D25" s="249"/>
      <c r="E25" s="257">
        <f>VLOOKUP($B$14,$Y$5:$DY$642,66,FALSE)</f>
        <v>0</v>
      </c>
      <c r="F25" s="192">
        <f>VLOOKUP($B$14,$Y$5:$DY$642,67,FALSE)</f>
        <v>0</v>
      </c>
      <c r="G25" s="193">
        <f t="shared" si="0"/>
        <v>0</v>
      </c>
      <c r="H25" s="258">
        <f t="shared" si="1"/>
        <v>0</v>
      </c>
      <c r="I25" s="257">
        <f>VLOOKUP($B$14,$Y$5:$DY$642,14,FALSE)</f>
        <v>0</v>
      </c>
      <c r="J25" s="192">
        <f>VLOOKUP($B$14,$Y$5:$DY$642,15,FALSE)</f>
        <v>0</v>
      </c>
      <c r="K25" s="193">
        <f t="shared" si="2"/>
        <v>0</v>
      </c>
      <c r="L25" s="258">
        <f t="shared" si="3"/>
        <v>0</v>
      </c>
      <c r="M25" s="238"/>
      <c r="N25" s="188"/>
      <c r="O25" s="171" t="s">
        <v>1326</v>
      </c>
      <c r="P25" s="172" t="s">
        <v>1353</v>
      </c>
      <c r="Q25" s="171" t="s">
        <v>331</v>
      </c>
      <c r="R25" s="171" t="s">
        <v>1468</v>
      </c>
      <c r="S25" s="173">
        <v>25</v>
      </c>
      <c r="U25" s="179" t="s">
        <v>1326</v>
      </c>
      <c r="V25" s="179" t="s">
        <v>1353</v>
      </c>
      <c r="W25" s="179" t="s">
        <v>1459</v>
      </c>
      <c r="X25" s="179">
        <v>21</v>
      </c>
      <c r="Y25" s="179" t="s">
        <v>1469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52</v>
      </c>
      <c r="AG25" s="113">
        <v>2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79">
        <v>0</v>
      </c>
      <c r="BW25" s="179">
        <v>0</v>
      </c>
      <c r="BX25" s="179">
        <v>0</v>
      </c>
      <c r="BY25" s="179">
        <v>0</v>
      </c>
      <c r="BZ25" s="181">
        <v>0</v>
      </c>
      <c r="CA25" s="181">
        <v>0</v>
      </c>
      <c r="CB25" s="181">
        <v>0</v>
      </c>
      <c r="CC25" s="181">
        <v>0</v>
      </c>
      <c r="CD25" s="181">
        <v>0</v>
      </c>
      <c r="CE25" s="181">
        <v>0</v>
      </c>
      <c r="CF25" s="181">
        <v>9</v>
      </c>
      <c r="CG25" s="181">
        <v>7</v>
      </c>
      <c r="CH25" s="181">
        <v>0</v>
      </c>
      <c r="CI25" s="181">
        <v>0</v>
      </c>
      <c r="CJ25" s="181">
        <v>0</v>
      </c>
      <c r="CK25" s="181">
        <v>0</v>
      </c>
      <c r="CL25" s="181">
        <v>0</v>
      </c>
      <c r="CM25" s="181">
        <v>0</v>
      </c>
      <c r="CN25" s="181">
        <v>0</v>
      </c>
      <c r="CO25" s="181">
        <v>0</v>
      </c>
      <c r="CP25" s="181">
        <v>0</v>
      </c>
      <c r="CQ25" s="181">
        <v>0</v>
      </c>
      <c r="CR25" s="181">
        <v>0</v>
      </c>
      <c r="CS25" s="181">
        <v>0</v>
      </c>
      <c r="CT25" s="181">
        <v>0</v>
      </c>
      <c r="CU25" s="181">
        <v>0</v>
      </c>
      <c r="CV25" s="181">
        <v>0</v>
      </c>
      <c r="CW25" s="181">
        <v>0</v>
      </c>
      <c r="CX25" s="181">
        <v>0</v>
      </c>
      <c r="CY25" s="181">
        <v>0</v>
      </c>
      <c r="CZ25" s="181">
        <v>0</v>
      </c>
      <c r="DA25" s="181">
        <v>0</v>
      </c>
      <c r="DB25" s="181">
        <v>0</v>
      </c>
      <c r="DC25" s="181">
        <v>0</v>
      </c>
      <c r="DD25" s="181">
        <v>0</v>
      </c>
      <c r="DE25" s="181">
        <v>0</v>
      </c>
      <c r="DF25" s="181">
        <v>0</v>
      </c>
      <c r="DG25" s="181">
        <v>0</v>
      </c>
      <c r="DH25" s="181">
        <v>0</v>
      </c>
      <c r="DI25" s="181">
        <v>0</v>
      </c>
      <c r="DJ25" s="181">
        <v>0</v>
      </c>
      <c r="DK25" s="181">
        <v>0</v>
      </c>
      <c r="DL25" s="181">
        <v>0</v>
      </c>
      <c r="DM25" s="181">
        <v>0</v>
      </c>
      <c r="DN25" s="181">
        <v>0</v>
      </c>
      <c r="DO25" s="181">
        <v>0</v>
      </c>
      <c r="DP25" s="181">
        <v>0</v>
      </c>
      <c r="DQ25" s="181">
        <v>0</v>
      </c>
      <c r="DR25" s="181">
        <v>0</v>
      </c>
      <c r="DS25" s="181">
        <v>0</v>
      </c>
      <c r="DT25" s="181">
        <v>0</v>
      </c>
      <c r="DU25" s="181">
        <v>0</v>
      </c>
      <c r="DV25" s="181">
        <v>0</v>
      </c>
      <c r="DW25" s="181">
        <v>0</v>
      </c>
      <c r="DX25" s="181">
        <v>0</v>
      </c>
      <c r="DY25" s="181">
        <v>0</v>
      </c>
    </row>
    <row r="26" spans="2:129" ht="13.5">
      <c r="B26" s="230"/>
      <c r="C26" s="248" t="s">
        <v>1334</v>
      </c>
      <c r="D26" s="249"/>
      <c r="E26" s="257">
        <f>VLOOKUP($B$14,$Y$5:$DY$642,68,FALSE)</f>
        <v>0</v>
      </c>
      <c r="F26" s="192">
        <f>VLOOKUP($B$14,$Y$5:$DY$642,69,FALSE)</f>
        <v>0</v>
      </c>
      <c r="G26" s="193">
        <f t="shared" si="0"/>
        <v>0</v>
      </c>
      <c r="H26" s="258">
        <f t="shared" si="1"/>
        <v>0</v>
      </c>
      <c r="I26" s="257">
        <f>VLOOKUP($B$14,$Y$5:$DY$642,16,FALSE)</f>
        <v>0</v>
      </c>
      <c r="J26" s="192">
        <f>VLOOKUP($B$14,$Y$5:$DY$642,17,FALSE)</f>
        <v>0</v>
      </c>
      <c r="K26" s="193">
        <f t="shared" si="2"/>
        <v>0</v>
      </c>
      <c r="L26" s="258">
        <f t="shared" si="3"/>
        <v>0</v>
      </c>
      <c r="M26" s="238"/>
      <c r="N26" s="188"/>
      <c r="O26" s="171" t="s">
        <v>1326</v>
      </c>
      <c r="P26" s="172" t="s">
        <v>1353</v>
      </c>
      <c r="Q26" s="171" t="s">
        <v>1470</v>
      </c>
      <c r="R26" s="171" t="s">
        <v>1471</v>
      </c>
      <c r="S26" s="173">
        <v>26</v>
      </c>
      <c r="U26" s="179" t="s">
        <v>1326</v>
      </c>
      <c r="V26" s="179" t="s">
        <v>1353</v>
      </c>
      <c r="W26" s="179" t="s">
        <v>320</v>
      </c>
      <c r="X26" s="179">
        <v>22</v>
      </c>
      <c r="Y26" s="179" t="s">
        <v>1472</v>
      </c>
      <c r="Z26" s="113">
        <v>0</v>
      </c>
      <c r="AA26" s="113">
        <v>0</v>
      </c>
      <c r="AB26" s="113">
        <v>0</v>
      </c>
      <c r="AC26" s="113">
        <v>0</v>
      </c>
      <c r="AD26" s="113">
        <v>10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1</v>
      </c>
      <c r="AS26" s="113">
        <v>0</v>
      </c>
      <c r="AT26" s="113">
        <v>0</v>
      </c>
      <c r="AU26" s="113">
        <v>0</v>
      </c>
      <c r="AV26" s="113">
        <v>29</v>
      </c>
      <c r="AW26" s="113">
        <v>12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0</v>
      </c>
      <c r="BG26" s="113">
        <v>0</v>
      </c>
      <c r="BH26" s="113">
        <v>21</v>
      </c>
      <c r="BI26" s="113">
        <v>11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79">
        <v>0</v>
      </c>
      <c r="BW26" s="179">
        <v>0</v>
      </c>
      <c r="BX26" s="179">
        <v>51</v>
      </c>
      <c r="BY26" s="179">
        <v>13</v>
      </c>
      <c r="BZ26" s="181">
        <v>0</v>
      </c>
      <c r="CA26" s="181">
        <v>0</v>
      </c>
      <c r="CB26" s="181">
        <v>0</v>
      </c>
      <c r="CC26" s="181">
        <v>0</v>
      </c>
      <c r="CD26" s="181">
        <v>11</v>
      </c>
      <c r="CE26" s="181">
        <v>0</v>
      </c>
      <c r="CF26" s="181">
        <v>0</v>
      </c>
      <c r="CG26" s="181">
        <v>0</v>
      </c>
      <c r="CH26" s="181">
        <v>0</v>
      </c>
      <c r="CI26" s="181">
        <v>0</v>
      </c>
      <c r="CJ26" s="181">
        <v>0</v>
      </c>
      <c r="CK26" s="181">
        <v>0</v>
      </c>
      <c r="CL26" s="181">
        <v>0</v>
      </c>
      <c r="CM26" s="181">
        <v>0</v>
      </c>
      <c r="CN26" s="181">
        <v>0</v>
      </c>
      <c r="CO26" s="181">
        <v>0</v>
      </c>
      <c r="CP26" s="181">
        <v>0</v>
      </c>
      <c r="CQ26" s="181">
        <v>0</v>
      </c>
      <c r="CR26" s="181">
        <v>8</v>
      </c>
      <c r="CS26" s="181">
        <v>0</v>
      </c>
      <c r="CT26" s="181">
        <v>0</v>
      </c>
      <c r="CU26" s="181">
        <v>0</v>
      </c>
      <c r="CV26" s="181">
        <v>12</v>
      </c>
      <c r="CW26" s="181">
        <v>11</v>
      </c>
      <c r="CX26" s="181">
        <v>0</v>
      </c>
      <c r="CY26" s="181">
        <v>0</v>
      </c>
      <c r="CZ26" s="181">
        <v>0</v>
      </c>
      <c r="DA26" s="181">
        <v>0</v>
      </c>
      <c r="DB26" s="181">
        <v>0</v>
      </c>
      <c r="DC26" s="181">
        <v>0</v>
      </c>
      <c r="DD26" s="181">
        <v>0</v>
      </c>
      <c r="DE26" s="181">
        <v>0</v>
      </c>
      <c r="DF26" s="181">
        <v>0</v>
      </c>
      <c r="DG26" s="181">
        <v>0</v>
      </c>
      <c r="DH26" s="181">
        <v>2</v>
      </c>
      <c r="DI26" s="181">
        <v>0</v>
      </c>
      <c r="DJ26" s="181">
        <v>0</v>
      </c>
      <c r="DK26" s="181">
        <v>0</v>
      </c>
      <c r="DL26" s="181">
        <v>0</v>
      </c>
      <c r="DM26" s="181">
        <v>0</v>
      </c>
      <c r="DN26" s="181">
        <v>0</v>
      </c>
      <c r="DO26" s="181">
        <v>0</v>
      </c>
      <c r="DP26" s="181">
        <v>0</v>
      </c>
      <c r="DQ26" s="181">
        <v>0</v>
      </c>
      <c r="DR26" s="181">
        <v>0</v>
      </c>
      <c r="DS26" s="181">
        <v>0</v>
      </c>
      <c r="DT26" s="181">
        <v>0</v>
      </c>
      <c r="DU26" s="181">
        <v>0</v>
      </c>
      <c r="DV26" s="181">
        <v>0</v>
      </c>
      <c r="DW26" s="181">
        <v>0</v>
      </c>
      <c r="DX26" s="181">
        <v>2</v>
      </c>
      <c r="DY26" s="181">
        <v>0</v>
      </c>
    </row>
    <row r="27" spans="2:129" ht="13.5">
      <c r="B27" s="230"/>
      <c r="C27" s="248" t="s">
        <v>16</v>
      </c>
      <c r="D27" s="249"/>
      <c r="E27" s="257">
        <f>VLOOKUP($B$14,$Y$5:$DY$642,70,FALSE)</f>
        <v>0</v>
      </c>
      <c r="F27" s="192">
        <f>VLOOKUP($B$14,$Y$5:$DY$642,71,FALSE)</f>
        <v>0</v>
      </c>
      <c r="G27" s="193">
        <f t="shared" si="0"/>
        <v>0</v>
      </c>
      <c r="H27" s="258">
        <f t="shared" si="1"/>
        <v>0</v>
      </c>
      <c r="I27" s="257">
        <f>VLOOKUP($B$14,$Y$5:$DY$642,18,FALSE)</f>
        <v>0</v>
      </c>
      <c r="J27" s="192">
        <f>VLOOKUP($B$14,$Y$5:$DY$642,19,FALSE)</f>
        <v>0</v>
      </c>
      <c r="K27" s="193">
        <f t="shared" si="2"/>
        <v>0</v>
      </c>
      <c r="L27" s="258">
        <f t="shared" si="3"/>
        <v>0</v>
      </c>
      <c r="M27" s="238"/>
      <c r="N27" s="188"/>
      <c r="O27" s="171" t="s">
        <v>1326</v>
      </c>
      <c r="P27" s="172" t="s">
        <v>1353</v>
      </c>
      <c r="Q27" s="171" t="s">
        <v>1473</v>
      </c>
      <c r="R27" s="171" t="s">
        <v>1474</v>
      </c>
      <c r="S27" s="173">
        <v>27</v>
      </c>
      <c r="U27" s="179" t="s">
        <v>1326</v>
      </c>
      <c r="V27" s="179" t="s">
        <v>1353</v>
      </c>
      <c r="W27" s="179" t="s">
        <v>326</v>
      </c>
      <c r="X27" s="179">
        <v>23</v>
      </c>
      <c r="Y27" s="179" t="s">
        <v>1475</v>
      </c>
      <c r="Z27" s="113">
        <v>0</v>
      </c>
      <c r="AA27" s="113">
        <v>0</v>
      </c>
      <c r="AB27" s="113">
        <v>6072</v>
      </c>
      <c r="AC27" s="113">
        <v>742</v>
      </c>
      <c r="AD27" s="113">
        <v>1627</v>
      </c>
      <c r="AE27" s="113">
        <v>243</v>
      </c>
      <c r="AF27" s="113">
        <v>553</v>
      </c>
      <c r="AG27" s="113">
        <v>168</v>
      </c>
      <c r="AH27" s="113">
        <v>602</v>
      </c>
      <c r="AI27" s="113">
        <v>141</v>
      </c>
      <c r="AJ27" s="113">
        <v>1646</v>
      </c>
      <c r="AK27" s="113">
        <v>307</v>
      </c>
      <c r="AL27" s="113">
        <v>1459</v>
      </c>
      <c r="AM27" s="113">
        <v>259</v>
      </c>
      <c r="AN27" s="113">
        <v>0</v>
      </c>
      <c r="AO27" s="113">
        <v>0</v>
      </c>
      <c r="AP27" s="113">
        <v>1304</v>
      </c>
      <c r="AQ27" s="113">
        <v>178</v>
      </c>
      <c r="AR27" s="113">
        <v>1673</v>
      </c>
      <c r="AS27" s="113">
        <v>263</v>
      </c>
      <c r="AT27" s="113">
        <v>431</v>
      </c>
      <c r="AU27" s="113">
        <v>69</v>
      </c>
      <c r="AV27" s="113">
        <v>5867</v>
      </c>
      <c r="AW27" s="113">
        <v>922</v>
      </c>
      <c r="AX27" s="113">
        <v>1723</v>
      </c>
      <c r="AY27" s="113">
        <v>267</v>
      </c>
      <c r="AZ27" s="113">
        <v>1140</v>
      </c>
      <c r="BA27" s="113">
        <v>118</v>
      </c>
      <c r="BB27" s="113">
        <v>0</v>
      </c>
      <c r="BC27" s="113">
        <v>0</v>
      </c>
      <c r="BD27" s="113">
        <v>0</v>
      </c>
      <c r="BE27" s="113">
        <v>0</v>
      </c>
      <c r="BF27" s="113">
        <v>183</v>
      </c>
      <c r="BG27" s="113">
        <v>58</v>
      </c>
      <c r="BH27" s="113">
        <v>7180</v>
      </c>
      <c r="BI27" s="113">
        <v>743</v>
      </c>
      <c r="BJ27" s="113">
        <v>2620</v>
      </c>
      <c r="BK27" s="113">
        <v>229</v>
      </c>
      <c r="BL27" s="113">
        <v>592</v>
      </c>
      <c r="BM27" s="113">
        <v>115</v>
      </c>
      <c r="BN27" s="113">
        <v>225</v>
      </c>
      <c r="BO27" s="113">
        <v>43</v>
      </c>
      <c r="BP27" s="113">
        <v>773</v>
      </c>
      <c r="BQ27" s="113">
        <v>108</v>
      </c>
      <c r="BR27" s="113">
        <v>1489</v>
      </c>
      <c r="BS27" s="113">
        <v>282</v>
      </c>
      <c r="BT27" s="113">
        <v>236</v>
      </c>
      <c r="BU27" s="113">
        <v>53</v>
      </c>
      <c r="BV27" s="179">
        <v>54</v>
      </c>
      <c r="BW27" s="179">
        <v>10</v>
      </c>
      <c r="BX27" s="179">
        <v>0</v>
      </c>
      <c r="BY27" s="179">
        <v>0</v>
      </c>
      <c r="BZ27" s="181">
        <v>0</v>
      </c>
      <c r="CA27" s="181">
        <v>0</v>
      </c>
      <c r="CB27" s="181">
        <v>8</v>
      </c>
      <c r="CC27" s="181">
        <v>7</v>
      </c>
      <c r="CD27" s="181">
        <v>8</v>
      </c>
      <c r="CE27" s="181">
        <v>2</v>
      </c>
      <c r="CF27" s="181">
        <v>4</v>
      </c>
      <c r="CG27" s="181">
        <v>0</v>
      </c>
      <c r="CH27" s="181">
        <v>3</v>
      </c>
      <c r="CI27" s="181">
        <v>1</v>
      </c>
      <c r="CJ27" s="181">
        <v>8</v>
      </c>
      <c r="CK27" s="181">
        <v>4</v>
      </c>
      <c r="CL27" s="181">
        <v>11</v>
      </c>
      <c r="CM27" s="181">
        <v>8</v>
      </c>
      <c r="CN27" s="181">
        <v>0</v>
      </c>
      <c r="CO27" s="181">
        <v>0</v>
      </c>
      <c r="CP27" s="181">
        <v>4</v>
      </c>
      <c r="CQ27" s="181">
        <v>2</v>
      </c>
      <c r="CR27" s="181">
        <v>5</v>
      </c>
      <c r="CS27" s="181">
        <v>3</v>
      </c>
      <c r="CT27" s="181">
        <v>10</v>
      </c>
      <c r="CU27" s="181">
        <v>9</v>
      </c>
      <c r="CV27" s="181">
        <v>10</v>
      </c>
      <c r="CW27" s="181">
        <v>8</v>
      </c>
      <c r="CX27" s="181">
        <v>8</v>
      </c>
      <c r="CY27" s="181">
        <v>5</v>
      </c>
      <c r="CZ27" s="181">
        <v>9</v>
      </c>
      <c r="DA27" s="181">
        <v>5</v>
      </c>
      <c r="DB27" s="181">
        <v>0</v>
      </c>
      <c r="DC27" s="181">
        <v>0</v>
      </c>
      <c r="DD27" s="181">
        <v>0</v>
      </c>
      <c r="DE27" s="181">
        <v>0</v>
      </c>
      <c r="DF27" s="181">
        <v>12</v>
      </c>
      <c r="DG27" s="181">
        <v>11</v>
      </c>
      <c r="DH27" s="181">
        <v>5</v>
      </c>
      <c r="DI27" s="181">
        <v>4</v>
      </c>
      <c r="DJ27" s="181">
        <v>5</v>
      </c>
      <c r="DK27" s="181">
        <v>1</v>
      </c>
      <c r="DL27" s="181">
        <v>3</v>
      </c>
      <c r="DM27" s="181">
        <v>1</v>
      </c>
      <c r="DN27" s="181">
        <v>11</v>
      </c>
      <c r="DO27" s="181">
        <v>8</v>
      </c>
      <c r="DP27" s="181">
        <v>1</v>
      </c>
      <c r="DQ27" s="181">
        <v>0</v>
      </c>
      <c r="DR27" s="181">
        <v>6</v>
      </c>
      <c r="DS27" s="181">
        <v>2</v>
      </c>
      <c r="DT27" s="181">
        <v>6</v>
      </c>
      <c r="DU27" s="181">
        <v>3</v>
      </c>
      <c r="DV27" s="181">
        <v>6</v>
      </c>
      <c r="DW27" s="181">
        <v>5</v>
      </c>
      <c r="DX27" s="181">
        <v>0</v>
      </c>
      <c r="DY27" s="181">
        <v>0</v>
      </c>
    </row>
    <row r="28" spans="2:129" ht="13.5">
      <c r="B28" s="230"/>
      <c r="C28" s="248" t="s">
        <v>17</v>
      </c>
      <c r="D28" s="249"/>
      <c r="E28" s="257">
        <f>VLOOKUP($B$14,$Y$5:$DY$642,72,FALSE)</f>
        <v>0</v>
      </c>
      <c r="F28" s="192">
        <f>VLOOKUP($B$14,$Y$5:$DY$642,73,FALSE)</f>
        <v>0</v>
      </c>
      <c r="G28" s="193">
        <f t="shared" si="0"/>
        <v>0</v>
      </c>
      <c r="H28" s="258">
        <f t="shared" si="1"/>
        <v>0</v>
      </c>
      <c r="I28" s="257">
        <f>VLOOKUP($B$14,$Y$5:$DY$642,20,FALSE)</f>
        <v>0</v>
      </c>
      <c r="J28" s="192">
        <f>VLOOKUP($B$14,$Y$5:$DY$642,21,FALSE)</f>
        <v>0</v>
      </c>
      <c r="K28" s="193">
        <f t="shared" si="2"/>
        <v>0</v>
      </c>
      <c r="L28" s="258">
        <f t="shared" si="3"/>
        <v>0</v>
      </c>
      <c r="M28" s="238"/>
      <c r="N28" s="188"/>
      <c r="O28" s="171" t="s">
        <v>1326</v>
      </c>
      <c r="P28" s="172" t="s">
        <v>1353</v>
      </c>
      <c r="Q28" s="171" t="s">
        <v>1476</v>
      </c>
      <c r="R28" s="171" t="s">
        <v>1477</v>
      </c>
      <c r="S28" s="173">
        <v>28</v>
      </c>
      <c r="U28" s="179" t="s">
        <v>1326</v>
      </c>
      <c r="V28" s="179" t="s">
        <v>1353</v>
      </c>
      <c r="W28" s="179" t="s">
        <v>1466</v>
      </c>
      <c r="X28" s="179">
        <v>24</v>
      </c>
      <c r="Y28" s="179" t="s">
        <v>1478</v>
      </c>
      <c r="Z28" s="113">
        <v>2002</v>
      </c>
      <c r="AA28" s="113">
        <v>136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79">
        <v>0</v>
      </c>
      <c r="BW28" s="179">
        <v>0</v>
      </c>
      <c r="BX28" s="179">
        <v>0</v>
      </c>
      <c r="BY28" s="179">
        <v>0</v>
      </c>
      <c r="BZ28" s="181">
        <v>1</v>
      </c>
      <c r="CA28" s="181">
        <v>0</v>
      </c>
      <c r="CB28" s="181">
        <v>0</v>
      </c>
      <c r="CC28" s="181">
        <v>0</v>
      </c>
      <c r="CD28" s="181">
        <v>0</v>
      </c>
      <c r="CE28" s="181">
        <v>0</v>
      </c>
      <c r="CF28" s="181">
        <v>0</v>
      </c>
      <c r="CG28" s="181">
        <v>0</v>
      </c>
      <c r="CH28" s="181">
        <v>0</v>
      </c>
      <c r="CI28" s="181">
        <v>0</v>
      </c>
      <c r="CJ28" s="181">
        <v>0</v>
      </c>
      <c r="CK28" s="181">
        <v>0</v>
      </c>
      <c r="CL28" s="181">
        <v>0</v>
      </c>
      <c r="CM28" s="181">
        <v>0</v>
      </c>
      <c r="CN28" s="181">
        <v>0</v>
      </c>
      <c r="CO28" s="181">
        <v>0</v>
      </c>
      <c r="CP28" s="181">
        <v>0</v>
      </c>
      <c r="CQ28" s="181">
        <v>0</v>
      </c>
      <c r="CR28" s="181">
        <v>0</v>
      </c>
      <c r="CS28" s="181">
        <v>0</v>
      </c>
      <c r="CT28" s="181">
        <v>0</v>
      </c>
      <c r="CU28" s="181">
        <v>0</v>
      </c>
      <c r="CV28" s="181">
        <v>0</v>
      </c>
      <c r="CW28" s="181">
        <v>0</v>
      </c>
      <c r="CX28" s="181">
        <v>0</v>
      </c>
      <c r="CY28" s="181">
        <v>0</v>
      </c>
      <c r="CZ28" s="181">
        <v>0</v>
      </c>
      <c r="DA28" s="181">
        <v>0</v>
      </c>
      <c r="DB28" s="181">
        <v>0</v>
      </c>
      <c r="DC28" s="181">
        <v>0</v>
      </c>
      <c r="DD28" s="181">
        <v>0</v>
      </c>
      <c r="DE28" s="181">
        <v>0</v>
      </c>
      <c r="DF28" s="181">
        <v>0</v>
      </c>
      <c r="DG28" s="181">
        <v>0</v>
      </c>
      <c r="DH28" s="181">
        <v>0</v>
      </c>
      <c r="DI28" s="181">
        <v>0</v>
      </c>
      <c r="DJ28" s="181">
        <v>0</v>
      </c>
      <c r="DK28" s="181">
        <v>0</v>
      </c>
      <c r="DL28" s="181">
        <v>0</v>
      </c>
      <c r="DM28" s="181">
        <v>0</v>
      </c>
      <c r="DN28" s="181">
        <v>0</v>
      </c>
      <c r="DO28" s="181">
        <v>0</v>
      </c>
      <c r="DP28" s="181">
        <v>0</v>
      </c>
      <c r="DQ28" s="181">
        <v>0</v>
      </c>
      <c r="DR28" s="181">
        <v>0</v>
      </c>
      <c r="DS28" s="181">
        <v>0</v>
      </c>
      <c r="DT28" s="181">
        <v>0</v>
      </c>
      <c r="DU28" s="181">
        <v>0</v>
      </c>
      <c r="DV28" s="181">
        <v>0</v>
      </c>
      <c r="DW28" s="181">
        <v>0</v>
      </c>
      <c r="DX28" s="181">
        <v>0</v>
      </c>
      <c r="DY28" s="181">
        <v>0</v>
      </c>
    </row>
    <row r="29" spans="2:129" ht="13.5">
      <c r="B29" s="230"/>
      <c r="C29" s="248" t="s">
        <v>18</v>
      </c>
      <c r="D29" s="249"/>
      <c r="E29" s="257">
        <f>VLOOKUP($B$14,$Y$5:$DY$642,74,FALSE)</f>
        <v>0</v>
      </c>
      <c r="F29" s="192">
        <f>VLOOKUP($B$14,$Y$5:$DY$642,75,FALSE)</f>
        <v>0</v>
      </c>
      <c r="G29" s="193">
        <f t="shared" si="0"/>
        <v>0</v>
      </c>
      <c r="H29" s="258">
        <f t="shared" si="1"/>
        <v>0</v>
      </c>
      <c r="I29" s="257">
        <f>VLOOKUP($B$14,$Y$5:$DY$642,22,FALSE)</f>
        <v>0</v>
      </c>
      <c r="J29" s="192">
        <f>VLOOKUP($B$14,$Y$5:$DY$642,23,FALSE)</f>
        <v>0</v>
      </c>
      <c r="K29" s="193">
        <f t="shared" si="2"/>
        <v>0</v>
      </c>
      <c r="L29" s="258">
        <f t="shared" si="3"/>
        <v>0</v>
      </c>
      <c r="M29" s="238"/>
      <c r="N29" s="188"/>
      <c r="O29" s="171" t="s">
        <v>1326</v>
      </c>
      <c r="P29" s="172" t="s">
        <v>1353</v>
      </c>
      <c r="Q29" s="171" t="s">
        <v>1479</v>
      </c>
      <c r="R29" s="171" t="s">
        <v>1480</v>
      </c>
      <c r="S29" s="173">
        <v>29</v>
      </c>
      <c r="U29" s="179" t="s">
        <v>1326</v>
      </c>
      <c r="V29" s="179" t="s">
        <v>1353</v>
      </c>
      <c r="W29" s="179" t="s">
        <v>331</v>
      </c>
      <c r="X29" s="179">
        <v>25</v>
      </c>
      <c r="Y29" s="179" t="s">
        <v>1481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20</v>
      </c>
      <c r="AS29" s="113">
        <v>15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79">
        <v>876</v>
      </c>
      <c r="BW29" s="179">
        <v>161</v>
      </c>
      <c r="BX29" s="179">
        <v>234</v>
      </c>
      <c r="BY29" s="179">
        <v>23</v>
      </c>
      <c r="BZ29" s="181">
        <v>0</v>
      </c>
      <c r="CA29" s="181">
        <v>0</v>
      </c>
      <c r="CB29" s="181">
        <v>0</v>
      </c>
      <c r="CC29" s="181">
        <v>0</v>
      </c>
      <c r="CD29" s="181">
        <v>0</v>
      </c>
      <c r="CE29" s="181">
        <v>0</v>
      </c>
      <c r="CF29" s="181">
        <v>0</v>
      </c>
      <c r="CG29" s="181">
        <v>0</v>
      </c>
      <c r="CH29" s="181">
        <v>0</v>
      </c>
      <c r="CI29" s="181">
        <v>0</v>
      </c>
      <c r="CJ29" s="181">
        <v>0</v>
      </c>
      <c r="CK29" s="181">
        <v>0</v>
      </c>
      <c r="CL29" s="181">
        <v>0</v>
      </c>
      <c r="CM29" s="181">
        <v>0</v>
      </c>
      <c r="CN29" s="181">
        <v>0</v>
      </c>
      <c r="CO29" s="181">
        <v>0</v>
      </c>
      <c r="CP29" s="181">
        <v>0</v>
      </c>
      <c r="CQ29" s="181">
        <v>0</v>
      </c>
      <c r="CR29" s="181">
        <v>6</v>
      </c>
      <c r="CS29" s="181">
        <v>1</v>
      </c>
      <c r="CT29" s="181">
        <v>0</v>
      </c>
      <c r="CU29" s="181">
        <v>0</v>
      </c>
      <c r="CV29" s="181">
        <v>0</v>
      </c>
      <c r="CW29" s="181">
        <v>0</v>
      </c>
      <c r="CX29" s="181">
        <v>0</v>
      </c>
      <c r="CY29" s="181">
        <v>0</v>
      </c>
      <c r="CZ29" s="181">
        <v>0</v>
      </c>
      <c r="DA29" s="181">
        <v>0</v>
      </c>
      <c r="DB29" s="181">
        <v>0</v>
      </c>
      <c r="DC29" s="181">
        <v>0</v>
      </c>
      <c r="DD29" s="181">
        <v>0</v>
      </c>
      <c r="DE29" s="181">
        <v>0</v>
      </c>
      <c r="DF29" s="181">
        <v>0</v>
      </c>
      <c r="DG29" s="181">
        <v>0</v>
      </c>
      <c r="DH29" s="181">
        <v>0</v>
      </c>
      <c r="DI29" s="181">
        <v>0</v>
      </c>
      <c r="DJ29" s="181">
        <v>0</v>
      </c>
      <c r="DK29" s="181">
        <v>0</v>
      </c>
      <c r="DL29" s="181">
        <v>0</v>
      </c>
      <c r="DM29" s="181">
        <v>0</v>
      </c>
      <c r="DN29" s="181">
        <v>0</v>
      </c>
      <c r="DO29" s="181">
        <v>0</v>
      </c>
      <c r="DP29" s="181">
        <v>0</v>
      </c>
      <c r="DQ29" s="181">
        <v>0</v>
      </c>
      <c r="DR29" s="181">
        <v>0</v>
      </c>
      <c r="DS29" s="181">
        <v>0</v>
      </c>
      <c r="DT29" s="181">
        <v>0</v>
      </c>
      <c r="DU29" s="181">
        <v>0</v>
      </c>
      <c r="DV29" s="181">
        <v>3</v>
      </c>
      <c r="DW29" s="181">
        <v>0</v>
      </c>
      <c r="DX29" s="181">
        <v>6</v>
      </c>
      <c r="DY29" s="181">
        <v>2</v>
      </c>
    </row>
    <row r="30" spans="2:129" ht="13.5">
      <c r="B30" s="230"/>
      <c r="C30" s="248" t="s">
        <v>19</v>
      </c>
      <c r="D30" s="249"/>
      <c r="E30" s="257">
        <f>VLOOKUP($B$14,$Y$5:$DY$642,76,FALSE)</f>
        <v>6</v>
      </c>
      <c r="F30" s="192">
        <f>VLOOKUP($B$14,$Y$5:$DY$642,77,FALSE)</f>
        <v>4</v>
      </c>
      <c r="G30" s="193">
        <f t="shared" si="0"/>
        <v>0.2857142857142857</v>
      </c>
      <c r="H30" s="258">
        <f t="shared" si="1"/>
        <v>0.6666666666666666</v>
      </c>
      <c r="I30" s="257">
        <f>VLOOKUP($B$14,$Y$5:$DY$642,24,FALSE)</f>
        <v>23</v>
      </c>
      <c r="J30" s="192">
        <f>VLOOKUP($B$14,$Y$5:$DY$642,25,FALSE)</f>
        <v>14</v>
      </c>
      <c r="K30" s="193">
        <f t="shared" si="2"/>
        <v>0.1414141414141414</v>
      </c>
      <c r="L30" s="258">
        <f t="shared" si="3"/>
        <v>0.6086956521739131</v>
      </c>
      <c r="M30" s="238"/>
      <c r="N30" s="188"/>
      <c r="O30" s="171" t="s">
        <v>1326</v>
      </c>
      <c r="P30" s="172" t="s">
        <v>1353</v>
      </c>
      <c r="Q30" s="171" t="s">
        <v>1482</v>
      </c>
      <c r="R30" s="171" t="s">
        <v>1483</v>
      </c>
      <c r="S30" s="173">
        <v>30</v>
      </c>
      <c r="U30" s="179" t="s">
        <v>1326</v>
      </c>
      <c r="V30" s="179" t="s">
        <v>1353</v>
      </c>
      <c r="W30" s="179" t="s">
        <v>1470</v>
      </c>
      <c r="X30" s="179">
        <v>26</v>
      </c>
      <c r="Y30" s="179" t="s">
        <v>1484</v>
      </c>
      <c r="Z30" s="113">
        <v>0</v>
      </c>
      <c r="AA30" s="113">
        <v>0</v>
      </c>
      <c r="AB30" s="113">
        <v>0</v>
      </c>
      <c r="AC30" s="113">
        <v>2</v>
      </c>
      <c r="AD30" s="113">
        <v>94</v>
      </c>
      <c r="AE30" s="113">
        <v>15</v>
      </c>
      <c r="AF30" s="113">
        <v>0</v>
      </c>
      <c r="AG30" s="113">
        <v>0</v>
      </c>
      <c r="AH30" s="113">
        <v>0</v>
      </c>
      <c r="AI30" s="113">
        <v>0</v>
      </c>
      <c r="AJ30" s="113">
        <v>29</v>
      </c>
      <c r="AK30" s="113">
        <v>3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90</v>
      </c>
      <c r="AS30" s="113">
        <v>43</v>
      </c>
      <c r="AT30" s="113">
        <v>258</v>
      </c>
      <c r="AU30" s="113">
        <v>51</v>
      </c>
      <c r="AV30" s="113">
        <v>330</v>
      </c>
      <c r="AW30" s="113">
        <v>69</v>
      </c>
      <c r="AX30" s="113">
        <v>35</v>
      </c>
      <c r="AY30" s="113">
        <v>12</v>
      </c>
      <c r="AZ30" s="113">
        <v>118</v>
      </c>
      <c r="BA30" s="113">
        <v>30</v>
      </c>
      <c r="BB30" s="113">
        <v>0</v>
      </c>
      <c r="BC30" s="113">
        <v>0</v>
      </c>
      <c r="BD30" s="113">
        <v>0</v>
      </c>
      <c r="BE30" s="113">
        <v>0</v>
      </c>
      <c r="BF30" s="113">
        <v>13</v>
      </c>
      <c r="BG30" s="113">
        <v>4</v>
      </c>
      <c r="BH30" s="113">
        <v>0</v>
      </c>
      <c r="BI30" s="113">
        <v>0</v>
      </c>
      <c r="BJ30" s="113">
        <v>0</v>
      </c>
      <c r="BK30" s="113">
        <v>0</v>
      </c>
      <c r="BL30" s="113">
        <v>35</v>
      </c>
      <c r="BM30" s="113">
        <v>10</v>
      </c>
      <c r="BN30" s="113">
        <v>0</v>
      </c>
      <c r="BO30" s="113">
        <v>0</v>
      </c>
      <c r="BP30" s="113">
        <v>5</v>
      </c>
      <c r="BQ30" s="113">
        <v>1</v>
      </c>
      <c r="BR30" s="113">
        <v>0</v>
      </c>
      <c r="BS30" s="113">
        <v>2</v>
      </c>
      <c r="BT30" s="113">
        <v>6</v>
      </c>
      <c r="BU30" s="113">
        <v>2</v>
      </c>
      <c r="BV30" s="179">
        <v>15</v>
      </c>
      <c r="BW30" s="179">
        <v>5</v>
      </c>
      <c r="BX30" s="179">
        <v>0</v>
      </c>
      <c r="BY30" s="179">
        <v>0</v>
      </c>
      <c r="BZ30" s="181">
        <v>0</v>
      </c>
      <c r="CA30" s="181">
        <v>0</v>
      </c>
      <c r="CB30" s="181">
        <v>0</v>
      </c>
      <c r="CC30" s="181">
        <v>0</v>
      </c>
      <c r="CD30" s="181">
        <v>10</v>
      </c>
      <c r="CE30" s="181">
        <v>6</v>
      </c>
      <c r="CF30" s="181">
        <v>0</v>
      </c>
      <c r="CG30" s="181">
        <v>0</v>
      </c>
      <c r="CH30" s="181">
        <v>0</v>
      </c>
      <c r="CI30" s="181">
        <v>0</v>
      </c>
      <c r="CJ30" s="181">
        <v>7</v>
      </c>
      <c r="CK30" s="181">
        <v>1</v>
      </c>
      <c r="CL30" s="181">
        <v>0</v>
      </c>
      <c r="CM30" s="181">
        <v>0</v>
      </c>
      <c r="CN30" s="181">
        <v>0</v>
      </c>
      <c r="CO30" s="181">
        <v>0</v>
      </c>
      <c r="CP30" s="181">
        <v>0</v>
      </c>
      <c r="CQ30" s="181">
        <v>0</v>
      </c>
      <c r="CR30" s="181">
        <v>2</v>
      </c>
      <c r="CS30" s="181">
        <v>0</v>
      </c>
      <c r="CT30" s="181">
        <v>8</v>
      </c>
      <c r="CU30" s="181">
        <v>2</v>
      </c>
      <c r="CV30" s="181">
        <v>2</v>
      </c>
      <c r="CW30" s="181">
        <v>1</v>
      </c>
      <c r="CX30" s="181">
        <v>4</v>
      </c>
      <c r="CY30" s="181">
        <v>1</v>
      </c>
      <c r="CZ30" s="181">
        <v>8</v>
      </c>
      <c r="DA30" s="181">
        <v>8</v>
      </c>
      <c r="DB30" s="181">
        <v>0</v>
      </c>
      <c r="DC30" s="181">
        <v>0</v>
      </c>
      <c r="DD30" s="181">
        <v>0</v>
      </c>
      <c r="DE30" s="181">
        <v>0</v>
      </c>
      <c r="DF30" s="181">
        <v>2</v>
      </c>
      <c r="DG30" s="181">
        <v>0</v>
      </c>
      <c r="DH30" s="181">
        <v>0</v>
      </c>
      <c r="DI30" s="181">
        <v>0</v>
      </c>
      <c r="DJ30" s="181">
        <v>0</v>
      </c>
      <c r="DK30" s="181">
        <v>0</v>
      </c>
      <c r="DL30" s="181">
        <v>1</v>
      </c>
      <c r="DM30" s="181">
        <v>0</v>
      </c>
      <c r="DN30" s="181">
        <v>0</v>
      </c>
      <c r="DO30" s="181">
        <v>0</v>
      </c>
      <c r="DP30" s="181">
        <v>0</v>
      </c>
      <c r="DQ30" s="181">
        <v>0</v>
      </c>
      <c r="DR30" s="181">
        <v>0</v>
      </c>
      <c r="DS30" s="181">
        <v>0</v>
      </c>
      <c r="DT30" s="181">
        <v>3</v>
      </c>
      <c r="DU30" s="181">
        <v>3</v>
      </c>
      <c r="DV30" s="181">
        <v>2</v>
      </c>
      <c r="DW30" s="181">
        <v>2</v>
      </c>
      <c r="DX30" s="181">
        <v>0</v>
      </c>
      <c r="DY30" s="181">
        <v>0</v>
      </c>
    </row>
    <row r="31" spans="2:129" ht="13.5">
      <c r="B31" s="230"/>
      <c r="C31" s="248" t="s">
        <v>20</v>
      </c>
      <c r="D31" s="249"/>
      <c r="E31" s="257">
        <f>VLOOKUP($B$14,$Y$5:$DY$642,78,FALSE)</f>
        <v>0</v>
      </c>
      <c r="F31" s="192">
        <f>VLOOKUP($B$14,$Y$5:$DY$642,79,FALSE)</f>
        <v>0</v>
      </c>
      <c r="G31" s="193">
        <f t="shared" si="0"/>
        <v>0</v>
      </c>
      <c r="H31" s="258">
        <f t="shared" si="1"/>
        <v>0</v>
      </c>
      <c r="I31" s="257">
        <f>VLOOKUP($B$14,$Y$5:$DY$642,26,FALSE)</f>
        <v>0</v>
      </c>
      <c r="J31" s="192">
        <f>VLOOKUP($B$14,$Y$5:$DY$642,27,FALSE)</f>
        <v>0</v>
      </c>
      <c r="K31" s="193">
        <f t="shared" si="2"/>
        <v>0</v>
      </c>
      <c r="L31" s="258">
        <f t="shared" si="3"/>
        <v>0</v>
      </c>
      <c r="M31" s="238"/>
      <c r="N31" s="188"/>
      <c r="O31" s="171" t="s">
        <v>1326</v>
      </c>
      <c r="P31" s="172" t="s">
        <v>1353</v>
      </c>
      <c r="Q31" s="171" t="s">
        <v>327</v>
      </c>
      <c r="R31" s="171" t="s">
        <v>328</v>
      </c>
      <c r="S31" s="173">
        <v>31</v>
      </c>
      <c r="U31" s="179" t="s">
        <v>1326</v>
      </c>
      <c r="V31" s="179" t="s">
        <v>1353</v>
      </c>
      <c r="W31" s="179" t="s">
        <v>1473</v>
      </c>
      <c r="X31" s="179">
        <v>27</v>
      </c>
      <c r="Y31" s="179" t="s">
        <v>1485</v>
      </c>
      <c r="Z31" s="113">
        <v>0</v>
      </c>
      <c r="AA31" s="113">
        <v>0</v>
      </c>
      <c r="AB31" s="113">
        <v>2241</v>
      </c>
      <c r="AC31" s="113">
        <v>394</v>
      </c>
      <c r="AD31" s="113">
        <v>379</v>
      </c>
      <c r="AE31" s="113">
        <v>70</v>
      </c>
      <c r="AF31" s="113">
        <v>53</v>
      </c>
      <c r="AG31" s="113">
        <v>13</v>
      </c>
      <c r="AH31" s="113">
        <v>0</v>
      </c>
      <c r="AI31" s="113">
        <v>0</v>
      </c>
      <c r="AJ31" s="113">
        <v>304</v>
      </c>
      <c r="AK31" s="113">
        <v>82</v>
      </c>
      <c r="AL31" s="113">
        <v>78</v>
      </c>
      <c r="AM31" s="113">
        <v>5</v>
      </c>
      <c r="AN31" s="113">
        <v>263</v>
      </c>
      <c r="AO31" s="113">
        <v>51</v>
      </c>
      <c r="AP31" s="113">
        <v>0</v>
      </c>
      <c r="AQ31" s="113">
        <v>0</v>
      </c>
      <c r="AR31" s="113">
        <v>987</v>
      </c>
      <c r="AS31" s="113">
        <v>184</v>
      </c>
      <c r="AT31" s="113">
        <v>475</v>
      </c>
      <c r="AU31" s="113">
        <v>103</v>
      </c>
      <c r="AV31" s="113">
        <v>2720</v>
      </c>
      <c r="AW31" s="113">
        <v>541</v>
      </c>
      <c r="AX31" s="113">
        <v>51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1574</v>
      </c>
      <c r="BI31" s="113">
        <v>382</v>
      </c>
      <c r="BJ31" s="113">
        <v>0</v>
      </c>
      <c r="BK31" s="113">
        <v>0</v>
      </c>
      <c r="BL31" s="113">
        <v>534</v>
      </c>
      <c r="BM31" s="113">
        <v>112</v>
      </c>
      <c r="BN31" s="113">
        <v>0</v>
      </c>
      <c r="BO31" s="113">
        <v>0</v>
      </c>
      <c r="BP31" s="113">
        <v>66</v>
      </c>
      <c r="BQ31" s="113">
        <v>13</v>
      </c>
      <c r="BR31" s="113">
        <v>778</v>
      </c>
      <c r="BS31" s="113">
        <v>229</v>
      </c>
      <c r="BT31" s="113">
        <v>613</v>
      </c>
      <c r="BU31" s="113">
        <v>148</v>
      </c>
      <c r="BV31" s="179">
        <v>0</v>
      </c>
      <c r="BW31" s="179">
        <v>0</v>
      </c>
      <c r="BX31" s="179">
        <v>0</v>
      </c>
      <c r="BY31" s="179">
        <v>0</v>
      </c>
      <c r="BZ31" s="181">
        <v>0</v>
      </c>
      <c r="CA31" s="181">
        <v>0</v>
      </c>
      <c r="CB31" s="181">
        <v>7</v>
      </c>
      <c r="CC31" s="181">
        <v>5</v>
      </c>
      <c r="CD31" s="181">
        <v>8</v>
      </c>
      <c r="CE31" s="181">
        <v>6</v>
      </c>
      <c r="CF31" s="181">
        <v>7</v>
      </c>
      <c r="CG31" s="181">
        <v>5</v>
      </c>
      <c r="CH31" s="181">
        <v>0</v>
      </c>
      <c r="CI31" s="181">
        <v>0</v>
      </c>
      <c r="CJ31" s="181">
        <v>10</v>
      </c>
      <c r="CK31" s="181">
        <v>0</v>
      </c>
      <c r="CL31" s="181">
        <v>12</v>
      </c>
      <c r="CM31" s="181">
        <v>2</v>
      </c>
      <c r="CN31" s="181">
        <v>6</v>
      </c>
      <c r="CO31" s="181">
        <v>1</v>
      </c>
      <c r="CP31" s="181">
        <v>0</v>
      </c>
      <c r="CQ31" s="181">
        <v>0</v>
      </c>
      <c r="CR31" s="181">
        <v>1</v>
      </c>
      <c r="CS31" s="181">
        <v>1</v>
      </c>
      <c r="CT31" s="181">
        <v>7</v>
      </c>
      <c r="CU31" s="181">
        <v>7</v>
      </c>
      <c r="CV31" s="181">
        <v>3</v>
      </c>
      <c r="CW31" s="181">
        <v>0</v>
      </c>
      <c r="CX31" s="181">
        <v>7</v>
      </c>
      <c r="CY31" s="181">
        <v>0</v>
      </c>
      <c r="CZ31" s="181">
        <v>0</v>
      </c>
      <c r="DA31" s="181">
        <v>0</v>
      </c>
      <c r="DB31" s="181">
        <v>0</v>
      </c>
      <c r="DC31" s="181">
        <v>0</v>
      </c>
      <c r="DD31" s="181">
        <v>0</v>
      </c>
      <c r="DE31" s="181">
        <v>0</v>
      </c>
      <c r="DF31" s="181">
        <v>0</v>
      </c>
      <c r="DG31" s="181">
        <v>0</v>
      </c>
      <c r="DH31" s="181">
        <v>0</v>
      </c>
      <c r="DI31" s="181">
        <v>0</v>
      </c>
      <c r="DJ31" s="181">
        <v>0</v>
      </c>
      <c r="DK31" s="181">
        <v>0</v>
      </c>
      <c r="DL31" s="181">
        <v>8</v>
      </c>
      <c r="DM31" s="181">
        <v>6</v>
      </c>
      <c r="DN31" s="181">
        <v>0</v>
      </c>
      <c r="DO31" s="181">
        <v>0</v>
      </c>
      <c r="DP31" s="181">
        <v>3</v>
      </c>
      <c r="DQ31" s="181">
        <v>1</v>
      </c>
      <c r="DR31" s="181">
        <v>1</v>
      </c>
      <c r="DS31" s="181">
        <v>0</v>
      </c>
      <c r="DT31" s="181">
        <v>6</v>
      </c>
      <c r="DU31" s="181">
        <v>1</v>
      </c>
      <c r="DV31" s="181">
        <v>0</v>
      </c>
      <c r="DW31" s="181">
        <v>0</v>
      </c>
      <c r="DX31" s="181">
        <v>0</v>
      </c>
      <c r="DY31" s="181">
        <v>0</v>
      </c>
    </row>
    <row r="32" spans="1:130" s="191" customFormat="1" ht="13.5">
      <c r="A32" s="187"/>
      <c r="B32" s="230"/>
      <c r="C32" s="248" t="s">
        <v>21</v>
      </c>
      <c r="D32" s="249"/>
      <c r="E32" s="257">
        <f>VLOOKUP($B$14,$Y$5:$DY$642,80,FALSE)</f>
        <v>0</v>
      </c>
      <c r="F32" s="192">
        <f>VLOOKUP($B$14,$Y$5:$DY$642,81,FALSE)</f>
        <v>0</v>
      </c>
      <c r="G32" s="193">
        <f t="shared" si="0"/>
        <v>0</v>
      </c>
      <c r="H32" s="258">
        <f t="shared" si="1"/>
        <v>0</v>
      </c>
      <c r="I32" s="257">
        <f>VLOOKUP($B$14,$Y$5:$DY$642,28,FALSE)</f>
        <v>0</v>
      </c>
      <c r="J32" s="192">
        <f>VLOOKUP($B$14,$Y$5:$DY$642,29,FALSE)</f>
        <v>0</v>
      </c>
      <c r="K32" s="193">
        <f t="shared" si="2"/>
        <v>0</v>
      </c>
      <c r="L32" s="258">
        <f t="shared" si="3"/>
        <v>0</v>
      </c>
      <c r="M32" s="238"/>
      <c r="N32" s="188"/>
      <c r="O32" s="171" t="s">
        <v>1326</v>
      </c>
      <c r="P32" s="172" t="s">
        <v>1353</v>
      </c>
      <c r="Q32" s="171" t="s">
        <v>336</v>
      </c>
      <c r="R32" s="171" t="s">
        <v>337</v>
      </c>
      <c r="S32" s="173">
        <v>32</v>
      </c>
      <c r="T32" s="189"/>
      <c r="U32" s="179" t="s">
        <v>1326</v>
      </c>
      <c r="V32" s="179" t="s">
        <v>1353</v>
      </c>
      <c r="W32" s="179" t="s">
        <v>1476</v>
      </c>
      <c r="X32" s="179">
        <v>28</v>
      </c>
      <c r="Y32" s="179" t="s">
        <v>1486</v>
      </c>
      <c r="Z32" s="113">
        <v>0</v>
      </c>
      <c r="AA32" s="113">
        <v>0</v>
      </c>
      <c r="AB32" s="113">
        <v>222</v>
      </c>
      <c r="AC32" s="113">
        <v>93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79">
        <v>41</v>
      </c>
      <c r="BW32" s="179">
        <v>24</v>
      </c>
      <c r="BX32" s="179">
        <v>0</v>
      </c>
      <c r="BY32" s="179">
        <v>0</v>
      </c>
      <c r="BZ32" s="181">
        <v>0</v>
      </c>
      <c r="CA32" s="181">
        <v>0</v>
      </c>
      <c r="CB32" s="181">
        <v>2</v>
      </c>
      <c r="CC32" s="181">
        <v>2</v>
      </c>
      <c r="CD32" s="181">
        <v>0</v>
      </c>
      <c r="CE32" s="181">
        <v>0</v>
      </c>
      <c r="CF32" s="181">
        <v>0</v>
      </c>
      <c r="CG32" s="181">
        <v>0</v>
      </c>
      <c r="CH32" s="181">
        <v>0</v>
      </c>
      <c r="CI32" s="181">
        <v>0</v>
      </c>
      <c r="CJ32" s="181">
        <v>0</v>
      </c>
      <c r="CK32" s="181">
        <v>0</v>
      </c>
      <c r="CL32" s="181">
        <v>0</v>
      </c>
      <c r="CM32" s="181">
        <v>0</v>
      </c>
      <c r="CN32" s="181">
        <v>0</v>
      </c>
      <c r="CO32" s="181">
        <v>0</v>
      </c>
      <c r="CP32" s="181">
        <v>0</v>
      </c>
      <c r="CQ32" s="181">
        <v>0</v>
      </c>
      <c r="CR32" s="181">
        <v>0</v>
      </c>
      <c r="CS32" s="181">
        <v>0</v>
      </c>
      <c r="CT32" s="181">
        <v>0</v>
      </c>
      <c r="CU32" s="181">
        <v>0</v>
      </c>
      <c r="CV32" s="181">
        <v>0</v>
      </c>
      <c r="CW32" s="181">
        <v>0</v>
      </c>
      <c r="CX32" s="181">
        <v>0</v>
      </c>
      <c r="CY32" s="181">
        <v>0</v>
      </c>
      <c r="CZ32" s="181">
        <v>0</v>
      </c>
      <c r="DA32" s="181">
        <v>0</v>
      </c>
      <c r="DB32" s="181">
        <v>0</v>
      </c>
      <c r="DC32" s="181">
        <v>0</v>
      </c>
      <c r="DD32" s="181">
        <v>0</v>
      </c>
      <c r="DE32" s="181">
        <v>0</v>
      </c>
      <c r="DF32" s="181">
        <v>0</v>
      </c>
      <c r="DG32" s="181">
        <v>0</v>
      </c>
      <c r="DH32" s="181">
        <v>0</v>
      </c>
      <c r="DI32" s="181">
        <v>0</v>
      </c>
      <c r="DJ32" s="181">
        <v>0</v>
      </c>
      <c r="DK32" s="181">
        <v>0</v>
      </c>
      <c r="DL32" s="181">
        <v>0</v>
      </c>
      <c r="DM32" s="181">
        <v>0</v>
      </c>
      <c r="DN32" s="181">
        <v>0</v>
      </c>
      <c r="DO32" s="181">
        <v>0</v>
      </c>
      <c r="DP32" s="181">
        <v>0</v>
      </c>
      <c r="DQ32" s="181">
        <v>0</v>
      </c>
      <c r="DR32" s="181">
        <v>0</v>
      </c>
      <c r="DS32" s="181">
        <v>0</v>
      </c>
      <c r="DT32" s="181">
        <v>0</v>
      </c>
      <c r="DU32" s="181">
        <v>0</v>
      </c>
      <c r="DV32" s="181">
        <v>6</v>
      </c>
      <c r="DW32" s="181">
        <v>4</v>
      </c>
      <c r="DX32" s="181">
        <v>0</v>
      </c>
      <c r="DY32" s="181">
        <v>0</v>
      </c>
      <c r="DZ32" s="190"/>
    </row>
    <row r="33" spans="2:129" ht="13.5">
      <c r="B33" s="230"/>
      <c r="C33" s="248" t="s">
        <v>22</v>
      </c>
      <c r="D33" s="249"/>
      <c r="E33" s="257">
        <f>VLOOKUP($B$14,$Y$5:$DY$642,82,FALSE)</f>
        <v>0</v>
      </c>
      <c r="F33" s="192">
        <f>VLOOKUP($B$14,$Y$5:$DY$642,83,FALSE)</f>
        <v>0</v>
      </c>
      <c r="G33" s="193">
        <f t="shared" si="0"/>
        <v>0</v>
      </c>
      <c r="H33" s="258">
        <f t="shared" si="1"/>
        <v>0</v>
      </c>
      <c r="I33" s="257">
        <f>VLOOKUP($B$14,$Y$5:$DY$642,30,FALSE)</f>
        <v>0</v>
      </c>
      <c r="J33" s="192">
        <f>VLOOKUP($B$14,$Y$5:$DY$642,31,FALSE)</f>
        <v>0</v>
      </c>
      <c r="K33" s="193">
        <f t="shared" si="2"/>
        <v>0</v>
      </c>
      <c r="L33" s="258">
        <f t="shared" si="3"/>
        <v>0</v>
      </c>
      <c r="M33" s="238"/>
      <c r="N33" s="188"/>
      <c r="O33" s="171" t="s">
        <v>1326</v>
      </c>
      <c r="P33" s="172" t="s">
        <v>1353</v>
      </c>
      <c r="Q33" s="171" t="s">
        <v>1487</v>
      </c>
      <c r="R33" s="171" t="s">
        <v>1488</v>
      </c>
      <c r="S33" s="173">
        <v>33</v>
      </c>
      <c r="U33" s="179" t="s">
        <v>1326</v>
      </c>
      <c r="V33" s="179" t="s">
        <v>1353</v>
      </c>
      <c r="W33" s="179" t="s">
        <v>1479</v>
      </c>
      <c r="X33" s="179">
        <v>29</v>
      </c>
      <c r="Y33" s="179" t="s">
        <v>1489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189</v>
      </c>
      <c r="AQ33" s="113">
        <v>31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6029</v>
      </c>
      <c r="BI33" s="113">
        <v>943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25</v>
      </c>
      <c r="BS33" s="113">
        <v>3</v>
      </c>
      <c r="BT33" s="113">
        <v>177</v>
      </c>
      <c r="BU33" s="113">
        <v>34</v>
      </c>
      <c r="BV33" s="179">
        <v>98</v>
      </c>
      <c r="BW33" s="179">
        <v>87</v>
      </c>
      <c r="BX33" s="179">
        <v>40</v>
      </c>
      <c r="BY33" s="179">
        <v>18</v>
      </c>
      <c r="BZ33" s="181">
        <v>0</v>
      </c>
      <c r="CA33" s="181">
        <v>0</v>
      </c>
      <c r="CB33" s="181">
        <v>0</v>
      </c>
      <c r="CC33" s="181">
        <v>0</v>
      </c>
      <c r="CD33" s="181">
        <v>0</v>
      </c>
      <c r="CE33" s="181">
        <v>0</v>
      </c>
      <c r="CF33" s="181">
        <v>0</v>
      </c>
      <c r="CG33" s="181">
        <v>0</v>
      </c>
      <c r="CH33" s="181">
        <v>0</v>
      </c>
      <c r="CI33" s="181">
        <v>0</v>
      </c>
      <c r="CJ33" s="181">
        <v>0</v>
      </c>
      <c r="CK33" s="181">
        <v>0</v>
      </c>
      <c r="CL33" s="181">
        <v>0</v>
      </c>
      <c r="CM33" s="181">
        <v>0</v>
      </c>
      <c r="CN33" s="181">
        <v>0</v>
      </c>
      <c r="CO33" s="181">
        <v>0</v>
      </c>
      <c r="CP33" s="181">
        <v>6</v>
      </c>
      <c r="CQ33" s="181">
        <v>3</v>
      </c>
      <c r="CR33" s="181">
        <v>0</v>
      </c>
      <c r="CS33" s="181">
        <v>0</v>
      </c>
      <c r="CT33" s="181">
        <v>0</v>
      </c>
      <c r="CU33" s="181">
        <v>0</v>
      </c>
      <c r="CV33" s="181">
        <v>0</v>
      </c>
      <c r="CW33" s="181">
        <v>0</v>
      </c>
      <c r="CX33" s="181">
        <v>0</v>
      </c>
      <c r="CY33" s="181">
        <v>0</v>
      </c>
      <c r="CZ33" s="181">
        <v>0</v>
      </c>
      <c r="DA33" s="181">
        <v>0</v>
      </c>
      <c r="DB33" s="181">
        <v>0</v>
      </c>
      <c r="DC33" s="181">
        <v>0</v>
      </c>
      <c r="DD33" s="181">
        <v>0</v>
      </c>
      <c r="DE33" s="181">
        <v>0</v>
      </c>
      <c r="DF33" s="181">
        <v>0</v>
      </c>
      <c r="DG33" s="181">
        <v>0</v>
      </c>
      <c r="DH33" s="181">
        <v>4</v>
      </c>
      <c r="DI33" s="181">
        <v>3</v>
      </c>
      <c r="DJ33" s="181">
        <v>0</v>
      </c>
      <c r="DK33" s="181">
        <v>0</v>
      </c>
      <c r="DL33" s="181">
        <v>0</v>
      </c>
      <c r="DM33" s="181">
        <v>0</v>
      </c>
      <c r="DN33" s="181">
        <v>0</v>
      </c>
      <c r="DO33" s="181">
        <v>0</v>
      </c>
      <c r="DP33" s="181">
        <v>0</v>
      </c>
      <c r="DQ33" s="181">
        <v>0</v>
      </c>
      <c r="DR33" s="181">
        <v>7</v>
      </c>
      <c r="DS33" s="181">
        <v>5</v>
      </c>
      <c r="DT33" s="181">
        <v>2</v>
      </c>
      <c r="DU33" s="181">
        <v>2</v>
      </c>
      <c r="DV33" s="181">
        <v>2</v>
      </c>
      <c r="DW33" s="181">
        <v>2</v>
      </c>
      <c r="DX33" s="181">
        <v>4</v>
      </c>
      <c r="DY33" s="181">
        <v>3</v>
      </c>
    </row>
    <row r="34" spans="2:129" ht="13.5">
      <c r="B34" s="230"/>
      <c r="C34" s="248" t="s">
        <v>23</v>
      </c>
      <c r="D34" s="249"/>
      <c r="E34" s="257">
        <f>VLOOKUP($B$14,$Y$5:$DY$642,84,FALSE)</f>
        <v>0</v>
      </c>
      <c r="F34" s="192">
        <f>VLOOKUP($B$14,$Y$5:$DY$642,85,FALSE)</f>
        <v>0</v>
      </c>
      <c r="G34" s="193">
        <f t="shared" si="0"/>
        <v>0</v>
      </c>
      <c r="H34" s="258">
        <f t="shared" si="1"/>
        <v>0</v>
      </c>
      <c r="I34" s="257">
        <f>VLOOKUP($B$14,$Y$5:$DY$642,32,FALSE)</f>
        <v>0</v>
      </c>
      <c r="J34" s="192">
        <f>VLOOKUP($B$14,$Y$5:$DY$642,33,FALSE)</f>
        <v>0</v>
      </c>
      <c r="K34" s="193">
        <f t="shared" si="2"/>
        <v>0</v>
      </c>
      <c r="L34" s="258">
        <f t="shared" si="3"/>
        <v>0</v>
      </c>
      <c r="M34" s="238"/>
      <c r="N34" s="188"/>
      <c r="O34" s="171" t="s">
        <v>1326</v>
      </c>
      <c r="P34" s="172" t="s">
        <v>1353</v>
      </c>
      <c r="Q34" s="171" t="s">
        <v>338</v>
      </c>
      <c r="R34" s="171" t="s">
        <v>1490</v>
      </c>
      <c r="S34" s="173">
        <v>34</v>
      </c>
      <c r="U34" s="179" t="s">
        <v>1326</v>
      </c>
      <c r="V34" s="179" t="s">
        <v>1353</v>
      </c>
      <c r="W34" s="179" t="s">
        <v>1482</v>
      </c>
      <c r="X34" s="179">
        <v>30</v>
      </c>
      <c r="Y34" s="179" t="s">
        <v>318</v>
      </c>
      <c r="Z34" s="113">
        <v>0</v>
      </c>
      <c r="AA34" s="113">
        <v>0</v>
      </c>
      <c r="AB34" s="113">
        <v>977</v>
      </c>
      <c r="AC34" s="113">
        <v>186</v>
      </c>
      <c r="AD34" s="113">
        <v>2444</v>
      </c>
      <c r="AE34" s="113">
        <v>342</v>
      </c>
      <c r="AF34" s="113">
        <v>0</v>
      </c>
      <c r="AG34" s="113">
        <v>0</v>
      </c>
      <c r="AH34" s="113">
        <v>1318</v>
      </c>
      <c r="AI34" s="113">
        <v>184</v>
      </c>
      <c r="AJ34" s="113">
        <v>1851</v>
      </c>
      <c r="AK34" s="113">
        <v>341</v>
      </c>
      <c r="AL34" s="113">
        <v>3342</v>
      </c>
      <c r="AM34" s="113">
        <v>563</v>
      </c>
      <c r="AN34" s="113">
        <v>0</v>
      </c>
      <c r="AO34" s="113">
        <v>0</v>
      </c>
      <c r="AP34" s="113">
        <v>957</v>
      </c>
      <c r="AQ34" s="113">
        <v>83</v>
      </c>
      <c r="AR34" s="113">
        <v>2937</v>
      </c>
      <c r="AS34" s="113">
        <v>366</v>
      </c>
      <c r="AT34" s="113">
        <v>0</v>
      </c>
      <c r="AU34" s="113">
        <v>0</v>
      </c>
      <c r="AV34" s="113">
        <v>1999</v>
      </c>
      <c r="AW34" s="113">
        <v>230</v>
      </c>
      <c r="AX34" s="113">
        <v>0</v>
      </c>
      <c r="AY34" s="113">
        <v>0</v>
      </c>
      <c r="AZ34" s="113">
        <v>0</v>
      </c>
      <c r="BA34" s="113">
        <v>0</v>
      </c>
      <c r="BB34" s="113">
        <v>694</v>
      </c>
      <c r="BC34" s="113">
        <v>111</v>
      </c>
      <c r="BD34" s="113">
        <v>0</v>
      </c>
      <c r="BE34" s="113">
        <v>0</v>
      </c>
      <c r="BF34" s="113">
        <v>0</v>
      </c>
      <c r="BG34" s="113">
        <v>0</v>
      </c>
      <c r="BH34" s="113">
        <v>54</v>
      </c>
      <c r="BI34" s="113">
        <v>21</v>
      </c>
      <c r="BJ34" s="113">
        <v>0</v>
      </c>
      <c r="BK34" s="113">
        <v>0</v>
      </c>
      <c r="BL34" s="113">
        <v>0</v>
      </c>
      <c r="BM34" s="113">
        <v>0</v>
      </c>
      <c r="BN34" s="113">
        <v>1201</v>
      </c>
      <c r="BO34" s="113">
        <v>116</v>
      </c>
      <c r="BP34" s="113">
        <v>0</v>
      </c>
      <c r="BQ34" s="113">
        <v>0</v>
      </c>
      <c r="BR34" s="113">
        <v>723</v>
      </c>
      <c r="BS34" s="113">
        <v>98</v>
      </c>
      <c r="BT34" s="113">
        <v>672</v>
      </c>
      <c r="BU34" s="113">
        <v>122</v>
      </c>
      <c r="BV34" s="179">
        <v>21</v>
      </c>
      <c r="BW34" s="179">
        <v>32</v>
      </c>
      <c r="BX34" s="179">
        <v>0</v>
      </c>
      <c r="BY34" s="179">
        <v>0</v>
      </c>
      <c r="BZ34" s="181">
        <v>0</v>
      </c>
      <c r="CA34" s="181">
        <v>0</v>
      </c>
      <c r="CB34" s="181">
        <v>9</v>
      </c>
      <c r="CC34" s="181">
        <v>1</v>
      </c>
      <c r="CD34" s="181">
        <v>7</v>
      </c>
      <c r="CE34" s="181">
        <v>0</v>
      </c>
      <c r="CF34" s="181">
        <v>0</v>
      </c>
      <c r="CG34" s="181">
        <v>0</v>
      </c>
      <c r="CH34" s="181">
        <v>11</v>
      </c>
      <c r="CI34" s="181">
        <v>8</v>
      </c>
      <c r="CJ34" s="181">
        <v>2</v>
      </c>
      <c r="CK34" s="181">
        <v>2</v>
      </c>
      <c r="CL34" s="181">
        <v>4</v>
      </c>
      <c r="CM34" s="181">
        <v>2</v>
      </c>
      <c r="CN34" s="181">
        <v>0</v>
      </c>
      <c r="CO34" s="181">
        <v>0</v>
      </c>
      <c r="CP34" s="181">
        <v>3</v>
      </c>
      <c r="CQ34" s="181">
        <v>0</v>
      </c>
      <c r="CR34" s="181">
        <v>0</v>
      </c>
      <c r="CS34" s="181">
        <v>0</v>
      </c>
      <c r="CT34" s="181">
        <v>0</v>
      </c>
      <c r="CU34" s="181">
        <v>0</v>
      </c>
      <c r="CV34" s="181">
        <v>8</v>
      </c>
      <c r="CW34" s="181">
        <v>6</v>
      </c>
      <c r="CX34" s="181">
        <v>0</v>
      </c>
      <c r="CY34" s="181">
        <v>0</v>
      </c>
      <c r="CZ34" s="181">
        <v>0</v>
      </c>
      <c r="DA34" s="181">
        <v>0</v>
      </c>
      <c r="DB34" s="181">
        <v>3</v>
      </c>
      <c r="DC34" s="181">
        <v>0</v>
      </c>
      <c r="DD34" s="181">
        <v>0</v>
      </c>
      <c r="DE34" s="181">
        <v>0</v>
      </c>
      <c r="DF34" s="181">
        <v>0</v>
      </c>
      <c r="DG34" s="181">
        <v>0</v>
      </c>
      <c r="DH34" s="181">
        <v>3</v>
      </c>
      <c r="DI34" s="181">
        <v>2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10</v>
      </c>
      <c r="DS34" s="181">
        <v>4</v>
      </c>
      <c r="DT34" s="181">
        <v>11</v>
      </c>
      <c r="DU34" s="181">
        <v>9</v>
      </c>
      <c r="DV34" s="181">
        <v>12</v>
      </c>
      <c r="DW34" s="181">
        <v>12</v>
      </c>
      <c r="DX34" s="181">
        <v>0</v>
      </c>
      <c r="DY34" s="181">
        <v>0</v>
      </c>
    </row>
    <row r="35" spans="2:129" ht="13.5">
      <c r="B35" s="237"/>
      <c r="C35" s="248" t="s">
        <v>24</v>
      </c>
      <c r="D35" s="250"/>
      <c r="E35" s="257">
        <f>VLOOKUP($B$14,$Y$5:$DY$642,86,FALSE)</f>
        <v>0</v>
      </c>
      <c r="F35" s="192">
        <f>VLOOKUP($B$14,$Y$5:$DY$642,87,FALSE)</f>
        <v>0</v>
      </c>
      <c r="G35" s="193">
        <f t="shared" si="0"/>
        <v>0</v>
      </c>
      <c r="H35" s="258">
        <f t="shared" si="1"/>
        <v>0</v>
      </c>
      <c r="I35" s="257">
        <f>VLOOKUP($B$14,$Y$5:$DY$642,34,FALSE)</f>
        <v>0</v>
      </c>
      <c r="J35" s="192">
        <f>VLOOKUP($B$14,$Y$5:$DY$642,35,FALSE)</f>
        <v>0</v>
      </c>
      <c r="K35" s="193">
        <f t="shared" si="2"/>
        <v>0</v>
      </c>
      <c r="L35" s="258">
        <f t="shared" si="3"/>
        <v>0</v>
      </c>
      <c r="M35" s="238"/>
      <c r="N35" s="188"/>
      <c r="O35" s="171" t="s">
        <v>1326</v>
      </c>
      <c r="P35" s="172" t="s">
        <v>1353</v>
      </c>
      <c r="Q35" s="171" t="s">
        <v>1491</v>
      </c>
      <c r="R35" s="171" t="s">
        <v>1492</v>
      </c>
      <c r="S35" s="173">
        <v>35</v>
      </c>
      <c r="U35" s="179" t="s">
        <v>1326</v>
      </c>
      <c r="V35" s="179" t="s">
        <v>1353</v>
      </c>
      <c r="W35" s="179" t="s">
        <v>327</v>
      </c>
      <c r="X35" s="179">
        <v>31</v>
      </c>
      <c r="Y35" s="179" t="s">
        <v>1493</v>
      </c>
      <c r="Z35" s="113">
        <v>0</v>
      </c>
      <c r="AA35" s="113">
        <v>0</v>
      </c>
      <c r="AB35" s="113">
        <v>141</v>
      </c>
      <c r="AC35" s="113">
        <v>25</v>
      </c>
      <c r="AD35" s="113">
        <v>1042</v>
      </c>
      <c r="AE35" s="113">
        <v>108</v>
      </c>
      <c r="AF35" s="113">
        <v>143</v>
      </c>
      <c r="AG35" s="113">
        <v>20</v>
      </c>
      <c r="AH35" s="113">
        <v>695</v>
      </c>
      <c r="AI35" s="113">
        <v>67</v>
      </c>
      <c r="AJ35" s="113">
        <v>0</v>
      </c>
      <c r="AK35" s="113">
        <v>0</v>
      </c>
      <c r="AL35" s="113">
        <v>0</v>
      </c>
      <c r="AM35" s="113">
        <v>0</v>
      </c>
      <c r="AN35" s="113">
        <v>518</v>
      </c>
      <c r="AO35" s="113">
        <v>68</v>
      </c>
      <c r="AP35" s="113">
        <v>0</v>
      </c>
      <c r="AQ35" s="113">
        <v>0</v>
      </c>
      <c r="AR35" s="113">
        <v>276</v>
      </c>
      <c r="AS35" s="113">
        <v>40</v>
      </c>
      <c r="AT35" s="113">
        <v>0</v>
      </c>
      <c r="AU35" s="113">
        <v>0</v>
      </c>
      <c r="AV35" s="113">
        <v>1303</v>
      </c>
      <c r="AW35" s="113">
        <v>111</v>
      </c>
      <c r="AX35" s="113">
        <v>301</v>
      </c>
      <c r="AY35" s="113">
        <v>49</v>
      </c>
      <c r="AZ35" s="113">
        <v>535</v>
      </c>
      <c r="BA35" s="113">
        <v>71</v>
      </c>
      <c r="BB35" s="113">
        <v>0</v>
      </c>
      <c r="BC35" s="113">
        <v>0</v>
      </c>
      <c r="BD35" s="113">
        <v>0</v>
      </c>
      <c r="BE35" s="113">
        <v>0</v>
      </c>
      <c r="BF35" s="113">
        <v>735</v>
      </c>
      <c r="BG35" s="113">
        <v>84</v>
      </c>
      <c r="BH35" s="113">
        <v>5816</v>
      </c>
      <c r="BI35" s="113">
        <v>816</v>
      </c>
      <c r="BJ35" s="113">
        <v>918</v>
      </c>
      <c r="BK35" s="113">
        <v>200</v>
      </c>
      <c r="BL35" s="113">
        <v>1491</v>
      </c>
      <c r="BM35" s="113">
        <v>236</v>
      </c>
      <c r="BN35" s="113">
        <v>24</v>
      </c>
      <c r="BO35" s="113">
        <v>2</v>
      </c>
      <c r="BP35" s="113">
        <v>22</v>
      </c>
      <c r="BQ35" s="113">
        <v>3</v>
      </c>
      <c r="BR35" s="113">
        <v>587</v>
      </c>
      <c r="BS35" s="113">
        <v>77</v>
      </c>
      <c r="BT35" s="113">
        <v>340</v>
      </c>
      <c r="BU35" s="113">
        <v>44</v>
      </c>
      <c r="BV35" s="179">
        <v>25</v>
      </c>
      <c r="BW35" s="179">
        <v>1</v>
      </c>
      <c r="BX35" s="179">
        <v>0</v>
      </c>
      <c r="BY35" s="179">
        <v>0</v>
      </c>
      <c r="BZ35" s="181">
        <v>0</v>
      </c>
      <c r="CA35" s="181">
        <v>0</v>
      </c>
      <c r="CB35" s="181">
        <v>10</v>
      </c>
      <c r="CC35" s="181">
        <v>4</v>
      </c>
      <c r="CD35" s="181">
        <v>1</v>
      </c>
      <c r="CE35" s="181">
        <v>0</v>
      </c>
      <c r="CF35" s="181">
        <v>3</v>
      </c>
      <c r="CG35" s="181">
        <v>1</v>
      </c>
      <c r="CH35" s="181">
        <v>6</v>
      </c>
      <c r="CI35" s="181">
        <v>0</v>
      </c>
      <c r="CJ35" s="181">
        <v>0</v>
      </c>
      <c r="CK35" s="181">
        <v>0</v>
      </c>
      <c r="CL35" s="181">
        <v>0</v>
      </c>
      <c r="CM35" s="181">
        <v>0</v>
      </c>
      <c r="CN35" s="181">
        <v>5</v>
      </c>
      <c r="CO35" s="181">
        <v>2</v>
      </c>
      <c r="CP35" s="181">
        <v>0</v>
      </c>
      <c r="CQ35" s="181">
        <v>0</v>
      </c>
      <c r="CR35" s="181">
        <v>11</v>
      </c>
      <c r="CS35" s="181">
        <v>10</v>
      </c>
      <c r="CT35" s="181">
        <v>0</v>
      </c>
      <c r="CU35" s="181">
        <v>0</v>
      </c>
      <c r="CV35" s="181">
        <v>8</v>
      </c>
      <c r="CW35" s="181">
        <v>2</v>
      </c>
      <c r="CX35" s="181">
        <v>7</v>
      </c>
      <c r="CY35" s="181">
        <v>1</v>
      </c>
      <c r="CZ35" s="181">
        <v>8</v>
      </c>
      <c r="DA35" s="181">
        <v>3</v>
      </c>
      <c r="DB35" s="181">
        <v>0</v>
      </c>
      <c r="DC35" s="181">
        <v>0</v>
      </c>
      <c r="DD35" s="181">
        <v>0</v>
      </c>
      <c r="DE35" s="181">
        <v>0</v>
      </c>
      <c r="DF35" s="181">
        <v>0</v>
      </c>
      <c r="DG35" s="181">
        <v>0</v>
      </c>
      <c r="DH35" s="181">
        <v>9</v>
      </c>
      <c r="DI35" s="181">
        <v>5</v>
      </c>
      <c r="DJ35" s="181">
        <v>11</v>
      </c>
      <c r="DK35" s="181">
        <v>3</v>
      </c>
      <c r="DL35" s="181">
        <v>2</v>
      </c>
      <c r="DM35" s="181">
        <v>0</v>
      </c>
      <c r="DN35" s="181">
        <v>2</v>
      </c>
      <c r="DO35" s="181">
        <v>0</v>
      </c>
      <c r="DP35" s="181">
        <v>11</v>
      </c>
      <c r="DQ35" s="181">
        <v>8</v>
      </c>
      <c r="DR35" s="181">
        <v>2</v>
      </c>
      <c r="DS35" s="181">
        <v>1</v>
      </c>
      <c r="DT35" s="181">
        <v>2</v>
      </c>
      <c r="DU35" s="181">
        <v>2</v>
      </c>
      <c r="DV35" s="181">
        <v>0</v>
      </c>
      <c r="DW35" s="181">
        <v>0</v>
      </c>
      <c r="DX35" s="181">
        <v>0</v>
      </c>
      <c r="DY35" s="181">
        <v>0</v>
      </c>
    </row>
    <row r="36" spans="2:129" ht="13.5">
      <c r="B36" s="230"/>
      <c r="C36" s="248" t="s">
        <v>25</v>
      </c>
      <c r="D36" s="249"/>
      <c r="E36" s="257">
        <f>VLOOKUP($B$14,$Y$5:$DY$642,88,FALSE)</f>
        <v>9</v>
      </c>
      <c r="F36" s="192">
        <f>VLOOKUP($B$14,$Y$5:$DY$642,89,FALSE)</f>
        <v>2</v>
      </c>
      <c r="G36" s="193">
        <f t="shared" si="0"/>
        <v>0.14285714285714285</v>
      </c>
      <c r="H36" s="258">
        <f t="shared" si="1"/>
        <v>0.2222222222222222</v>
      </c>
      <c r="I36" s="257">
        <f>VLOOKUP($B$14,$Y$5:$DY$642,36,FALSE)</f>
        <v>116</v>
      </c>
      <c r="J36" s="192">
        <f>VLOOKUP($B$14,$Y$5:$DY$642,37,FALSE)</f>
        <v>69</v>
      </c>
      <c r="K36" s="193">
        <f t="shared" si="2"/>
        <v>0.696969696969697</v>
      </c>
      <c r="L36" s="258">
        <f t="shared" si="3"/>
        <v>0.5948275862068966</v>
      </c>
      <c r="M36" s="238"/>
      <c r="N36" s="188"/>
      <c r="O36" s="171" t="s">
        <v>1326</v>
      </c>
      <c r="P36" s="172" t="s">
        <v>1353</v>
      </c>
      <c r="Q36" s="171" t="s">
        <v>1494</v>
      </c>
      <c r="R36" s="171" t="s">
        <v>1495</v>
      </c>
      <c r="S36" s="173">
        <v>36</v>
      </c>
      <c r="U36" s="179" t="s">
        <v>1326</v>
      </c>
      <c r="V36" s="179" t="s">
        <v>1353</v>
      </c>
      <c r="W36" s="179" t="s">
        <v>336</v>
      </c>
      <c r="X36" s="179">
        <v>32</v>
      </c>
      <c r="Y36" s="179" t="s">
        <v>1496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28</v>
      </c>
      <c r="AK36" s="113">
        <v>3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9</v>
      </c>
      <c r="BI36" s="113">
        <v>1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79">
        <v>118</v>
      </c>
      <c r="BW36" s="179">
        <v>41</v>
      </c>
      <c r="BX36" s="179">
        <v>0</v>
      </c>
      <c r="BY36" s="179">
        <v>0</v>
      </c>
      <c r="BZ36" s="181">
        <v>0</v>
      </c>
      <c r="CA36" s="181">
        <v>0</v>
      </c>
      <c r="CB36" s="181">
        <v>0</v>
      </c>
      <c r="CC36" s="181">
        <v>0</v>
      </c>
      <c r="CD36" s="181">
        <v>0</v>
      </c>
      <c r="CE36" s="181">
        <v>0</v>
      </c>
      <c r="CF36" s="181">
        <v>0</v>
      </c>
      <c r="CG36" s="181">
        <v>0</v>
      </c>
      <c r="CH36" s="181">
        <v>0</v>
      </c>
      <c r="CI36" s="181">
        <v>0</v>
      </c>
      <c r="CJ36" s="181">
        <v>11</v>
      </c>
      <c r="CK36" s="181">
        <v>1</v>
      </c>
      <c r="CL36" s="181">
        <v>0</v>
      </c>
      <c r="CM36" s="181">
        <v>0</v>
      </c>
      <c r="CN36" s="181">
        <v>0</v>
      </c>
      <c r="CO36" s="181">
        <v>0</v>
      </c>
      <c r="CP36" s="181">
        <v>0</v>
      </c>
      <c r="CQ36" s="181">
        <v>0</v>
      </c>
      <c r="CR36" s="181">
        <v>0</v>
      </c>
      <c r="CS36" s="181">
        <v>0</v>
      </c>
      <c r="CT36" s="181">
        <v>0</v>
      </c>
      <c r="CU36" s="181">
        <v>0</v>
      </c>
      <c r="CV36" s="181">
        <v>0</v>
      </c>
      <c r="CW36" s="181">
        <v>0</v>
      </c>
      <c r="CX36" s="181">
        <v>0</v>
      </c>
      <c r="CY36" s="181">
        <v>0</v>
      </c>
      <c r="CZ36" s="181">
        <v>0</v>
      </c>
      <c r="DA36" s="181">
        <v>0</v>
      </c>
      <c r="DB36" s="181">
        <v>0</v>
      </c>
      <c r="DC36" s="181">
        <v>0</v>
      </c>
      <c r="DD36" s="181">
        <v>0</v>
      </c>
      <c r="DE36" s="181">
        <v>0</v>
      </c>
      <c r="DF36" s="181">
        <v>0</v>
      </c>
      <c r="DG36" s="181">
        <v>0</v>
      </c>
      <c r="DH36" s="181">
        <v>3</v>
      </c>
      <c r="DI36" s="181">
        <v>3</v>
      </c>
      <c r="DJ36" s="181">
        <v>0</v>
      </c>
      <c r="DK36" s="181">
        <v>0</v>
      </c>
      <c r="DL36" s="181">
        <v>0</v>
      </c>
      <c r="DM36" s="181">
        <v>0</v>
      </c>
      <c r="DN36" s="181">
        <v>0</v>
      </c>
      <c r="DO36" s="181">
        <v>0</v>
      </c>
      <c r="DP36" s="181">
        <v>0</v>
      </c>
      <c r="DQ36" s="181">
        <v>0</v>
      </c>
      <c r="DR36" s="181">
        <v>0</v>
      </c>
      <c r="DS36" s="181">
        <v>0</v>
      </c>
      <c r="DT36" s="181">
        <v>0</v>
      </c>
      <c r="DU36" s="181">
        <v>0</v>
      </c>
      <c r="DV36" s="181">
        <v>8</v>
      </c>
      <c r="DW36" s="181">
        <v>8</v>
      </c>
      <c r="DX36" s="181">
        <v>0</v>
      </c>
      <c r="DY36" s="181">
        <v>0</v>
      </c>
    </row>
    <row r="37" spans="2:129" ht="13.5">
      <c r="B37" s="230"/>
      <c r="C37" s="248" t="s">
        <v>26</v>
      </c>
      <c r="D37" s="249"/>
      <c r="E37" s="257">
        <f>VLOOKUP($B$14,$Y$5:$DY$642,90,FALSE)</f>
        <v>0</v>
      </c>
      <c r="F37" s="192">
        <f>VLOOKUP($B$14,$Y$5:$DY$642,91,FALSE)</f>
        <v>0</v>
      </c>
      <c r="G37" s="193">
        <f t="shared" si="0"/>
        <v>0</v>
      </c>
      <c r="H37" s="258">
        <f t="shared" si="1"/>
        <v>0</v>
      </c>
      <c r="I37" s="257">
        <f>VLOOKUP($B$14,$Y$5:$DY$642,38,FALSE)</f>
        <v>0</v>
      </c>
      <c r="J37" s="192">
        <f>VLOOKUP($B$14,$Y$5:$DY$642,39,FALSE)</f>
        <v>0</v>
      </c>
      <c r="K37" s="193">
        <f t="shared" si="2"/>
        <v>0</v>
      </c>
      <c r="L37" s="258">
        <f t="shared" si="3"/>
        <v>0</v>
      </c>
      <c r="M37" s="238"/>
      <c r="N37" s="188"/>
      <c r="O37" s="171" t="s">
        <v>1326</v>
      </c>
      <c r="P37" s="172" t="s">
        <v>1353</v>
      </c>
      <c r="Q37" s="171" t="s">
        <v>1497</v>
      </c>
      <c r="R37" s="171" t="s">
        <v>1498</v>
      </c>
      <c r="S37" s="173">
        <v>37</v>
      </c>
      <c r="U37" s="179" t="s">
        <v>1326</v>
      </c>
      <c r="V37" s="179" t="s">
        <v>1353</v>
      </c>
      <c r="W37" s="179" t="s">
        <v>1487</v>
      </c>
      <c r="X37" s="179">
        <v>33</v>
      </c>
      <c r="Y37" s="179" t="s">
        <v>1499</v>
      </c>
      <c r="Z37" s="113">
        <v>0</v>
      </c>
      <c r="AA37" s="113">
        <v>0</v>
      </c>
      <c r="AB37" s="113">
        <v>5413</v>
      </c>
      <c r="AC37" s="113">
        <v>515</v>
      </c>
      <c r="AD37" s="113">
        <v>1547</v>
      </c>
      <c r="AE37" s="113">
        <v>313</v>
      </c>
      <c r="AF37" s="113">
        <v>442</v>
      </c>
      <c r="AG37" s="113">
        <v>112</v>
      </c>
      <c r="AH37" s="113">
        <v>718</v>
      </c>
      <c r="AI37" s="113">
        <v>177</v>
      </c>
      <c r="AJ37" s="113">
        <v>1556</v>
      </c>
      <c r="AK37" s="113">
        <v>341</v>
      </c>
      <c r="AL37" s="113">
        <v>200</v>
      </c>
      <c r="AM37" s="113">
        <v>56</v>
      </c>
      <c r="AN37" s="113">
        <v>431</v>
      </c>
      <c r="AO37" s="113">
        <v>67</v>
      </c>
      <c r="AP37" s="113">
        <v>33</v>
      </c>
      <c r="AQ37" s="113">
        <v>16</v>
      </c>
      <c r="AR37" s="113">
        <v>990</v>
      </c>
      <c r="AS37" s="113">
        <v>193</v>
      </c>
      <c r="AT37" s="113">
        <v>493</v>
      </c>
      <c r="AU37" s="113">
        <v>140</v>
      </c>
      <c r="AV37" s="113">
        <v>5778</v>
      </c>
      <c r="AW37" s="113">
        <v>1174</v>
      </c>
      <c r="AX37" s="113">
        <v>1878</v>
      </c>
      <c r="AY37" s="113">
        <v>357</v>
      </c>
      <c r="AZ37" s="113">
        <v>398</v>
      </c>
      <c r="BA37" s="113">
        <v>58</v>
      </c>
      <c r="BB37" s="113">
        <v>0</v>
      </c>
      <c r="BC37" s="113">
        <v>0</v>
      </c>
      <c r="BD37" s="113">
        <v>0</v>
      </c>
      <c r="BE37" s="113">
        <v>0</v>
      </c>
      <c r="BF37" s="113">
        <v>50</v>
      </c>
      <c r="BG37" s="113">
        <v>27</v>
      </c>
      <c r="BH37" s="113">
        <v>2349</v>
      </c>
      <c r="BI37" s="113">
        <v>393</v>
      </c>
      <c r="BJ37" s="113">
        <v>0</v>
      </c>
      <c r="BK37" s="113">
        <v>0</v>
      </c>
      <c r="BL37" s="113">
        <v>1258</v>
      </c>
      <c r="BM37" s="113">
        <v>47</v>
      </c>
      <c r="BN37" s="113">
        <v>391</v>
      </c>
      <c r="BO37" s="113">
        <v>88</v>
      </c>
      <c r="BP37" s="113">
        <v>201</v>
      </c>
      <c r="BQ37" s="113">
        <v>38</v>
      </c>
      <c r="BR37" s="113">
        <v>1104</v>
      </c>
      <c r="BS37" s="113">
        <v>186</v>
      </c>
      <c r="BT37" s="113">
        <v>108</v>
      </c>
      <c r="BU37" s="113">
        <v>44</v>
      </c>
      <c r="BV37" s="179">
        <v>0</v>
      </c>
      <c r="BW37" s="179">
        <v>0</v>
      </c>
      <c r="BX37" s="179">
        <v>0</v>
      </c>
      <c r="BY37" s="179">
        <v>0</v>
      </c>
      <c r="BZ37" s="181">
        <v>0</v>
      </c>
      <c r="CA37" s="181">
        <v>0</v>
      </c>
      <c r="CB37" s="181">
        <v>2</v>
      </c>
      <c r="CC37" s="181">
        <v>1</v>
      </c>
      <c r="CD37" s="181">
        <v>3</v>
      </c>
      <c r="CE37" s="181">
        <v>0</v>
      </c>
      <c r="CF37" s="181">
        <v>3</v>
      </c>
      <c r="CG37" s="181">
        <v>2</v>
      </c>
      <c r="CH37" s="181">
        <v>9</v>
      </c>
      <c r="CI37" s="181">
        <v>8</v>
      </c>
      <c r="CJ37" s="181">
        <v>6</v>
      </c>
      <c r="CK37" s="181">
        <v>3</v>
      </c>
      <c r="CL37" s="181">
        <v>11</v>
      </c>
      <c r="CM37" s="181">
        <v>9</v>
      </c>
      <c r="CN37" s="181">
        <v>6</v>
      </c>
      <c r="CO37" s="181">
        <v>4</v>
      </c>
      <c r="CP37" s="181">
        <v>2</v>
      </c>
      <c r="CQ37" s="181">
        <v>1</v>
      </c>
      <c r="CR37" s="181">
        <v>3</v>
      </c>
      <c r="CS37" s="181">
        <v>2</v>
      </c>
      <c r="CT37" s="181">
        <v>2</v>
      </c>
      <c r="CU37" s="181">
        <v>2</v>
      </c>
      <c r="CV37" s="181">
        <v>10</v>
      </c>
      <c r="CW37" s="181">
        <v>0</v>
      </c>
      <c r="CX37" s="181">
        <v>7</v>
      </c>
      <c r="CY37" s="181">
        <v>7</v>
      </c>
      <c r="CZ37" s="181">
        <v>1</v>
      </c>
      <c r="DA37" s="181">
        <v>1</v>
      </c>
      <c r="DB37" s="181">
        <v>0</v>
      </c>
      <c r="DC37" s="181">
        <v>0</v>
      </c>
      <c r="DD37" s="181">
        <v>0</v>
      </c>
      <c r="DE37" s="181">
        <v>0</v>
      </c>
      <c r="DF37" s="181">
        <v>12</v>
      </c>
      <c r="DG37" s="181">
        <v>6</v>
      </c>
      <c r="DH37" s="181">
        <v>0</v>
      </c>
      <c r="DI37" s="181">
        <v>0</v>
      </c>
      <c r="DJ37" s="181">
        <v>0</v>
      </c>
      <c r="DK37" s="181">
        <v>0</v>
      </c>
      <c r="DL37" s="181">
        <v>12</v>
      </c>
      <c r="DM37" s="181">
        <v>2</v>
      </c>
      <c r="DN37" s="181">
        <v>4</v>
      </c>
      <c r="DO37" s="181">
        <v>4</v>
      </c>
      <c r="DP37" s="181">
        <v>3</v>
      </c>
      <c r="DQ37" s="181">
        <v>1</v>
      </c>
      <c r="DR37" s="181">
        <v>11</v>
      </c>
      <c r="DS37" s="181">
        <v>6</v>
      </c>
      <c r="DT37" s="181">
        <v>6</v>
      </c>
      <c r="DU37" s="181">
        <v>0</v>
      </c>
      <c r="DV37" s="181">
        <v>0</v>
      </c>
      <c r="DW37" s="181">
        <v>0</v>
      </c>
      <c r="DX37" s="181">
        <v>0</v>
      </c>
      <c r="DY37" s="181">
        <v>0</v>
      </c>
    </row>
    <row r="38" spans="2:129" ht="13.5">
      <c r="B38" s="230"/>
      <c r="C38" s="248" t="s">
        <v>27</v>
      </c>
      <c r="D38" s="249"/>
      <c r="E38" s="257">
        <f>VLOOKUP($B$14,$Y$5:$DY$642,92,FALSE)</f>
        <v>0</v>
      </c>
      <c r="F38" s="192">
        <f>VLOOKUP($B$14,$Y$5:$DY$642,93,FALSE)</f>
        <v>0</v>
      </c>
      <c r="G38" s="193">
        <f t="shared" si="0"/>
        <v>0</v>
      </c>
      <c r="H38" s="258">
        <f t="shared" si="1"/>
        <v>0</v>
      </c>
      <c r="I38" s="257">
        <f>VLOOKUP($B$14,$Y$5:$DY$642,40,FALSE)</f>
        <v>0</v>
      </c>
      <c r="J38" s="192">
        <f>VLOOKUP($B$14,$Y$5:$DY$642,41,FALSE)</f>
        <v>0</v>
      </c>
      <c r="K38" s="193">
        <f t="shared" si="2"/>
        <v>0</v>
      </c>
      <c r="L38" s="258">
        <f t="shared" si="3"/>
        <v>0</v>
      </c>
      <c r="M38" s="238"/>
      <c r="N38" s="188"/>
      <c r="O38" s="171" t="s">
        <v>1326</v>
      </c>
      <c r="P38" s="172" t="s">
        <v>1353</v>
      </c>
      <c r="Q38" s="171" t="s">
        <v>1500</v>
      </c>
      <c r="R38" s="171" t="s">
        <v>1501</v>
      </c>
      <c r="S38" s="173">
        <v>38</v>
      </c>
      <c r="U38" s="179" t="s">
        <v>1326</v>
      </c>
      <c r="V38" s="179" t="s">
        <v>1353</v>
      </c>
      <c r="W38" s="179" t="s">
        <v>338</v>
      </c>
      <c r="X38" s="179">
        <v>34</v>
      </c>
      <c r="Y38" s="179" t="s">
        <v>1502</v>
      </c>
      <c r="Z38" s="113">
        <v>0</v>
      </c>
      <c r="AA38" s="113">
        <v>0</v>
      </c>
      <c r="AB38" s="113">
        <v>0</v>
      </c>
      <c r="AC38" s="113">
        <v>0</v>
      </c>
      <c r="AD38" s="113">
        <v>17</v>
      </c>
      <c r="AE38" s="113">
        <v>17</v>
      </c>
      <c r="AF38" s="113">
        <v>12</v>
      </c>
      <c r="AG38" s="113">
        <v>0</v>
      </c>
      <c r="AH38" s="113">
        <v>0</v>
      </c>
      <c r="AI38" s="113">
        <v>0</v>
      </c>
      <c r="AJ38" s="113">
        <v>27</v>
      </c>
      <c r="AK38" s="113">
        <v>19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4</v>
      </c>
      <c r="AS38" s="113">
        <v>0</v>
      </c>
      <c r="AT38" s="113">
        <v>0</v>
      </c>
      <c r="AU38" s="113">
        <v>0</v>
      </c>
      <c r="AV38" s="113">
        <v>18</v>
      </c>
      <c r="AW38" s="113">
        <v>11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  <c r="BU38" s="113">
        <v>0</v>
      </c>
      <c r="BV38" s="179">
        <v>66</v>
      </c>
      <c r="BW38" s="179">
        <v>6</v>
      </c>
      <c r="BX38" s="179">
        <v>394</v>
      </c>
      <c r="BY38" s="179">
        <v>75</v>
      </c>
      <c r="BZ38" s="181">
        <v>0</v>
      </c>
      <c r="CA38" s="181">
        <v>0</v>
      </c>
      <c r="CB38" s="181">
        <v>0</v>
      </c>
      <c r="CC38" s="181">
        <v>0</v>
      </c>
      <c r="CD38" s="181">
        <v>9</v>
      </c>
      <c r="CE38" s="181">
        <v>6</v>
      </c>
      <c r="CF38" s="181">
        <v>5</v>
      </c>
      <c r="CG38" s="181">
        <v>0</v>
      </c>
      <c r="CH38" s="181">
        <v>0</v>
      </c>
      <c r="CI38" s="181">
        <v>0</v>
      </c>
      <c r="CJ38" s="181">
        <v>0</v>
      </c>
      <c r="CK38" s="181">
        <v>0</v>
      </c>
      <c r="CL38" s="181">
        <v>0</v>
      </c>
      <c r="CM38" s="181">
        <v>0</v>
      </c>
      <c r="CN38" s="181">
        <v>0</v>
      </c>
      <c r="CO38" s="181">
        <v>0</v>
      </c>
      <c r="CP38" s="181">
        <v>0</v>
      </c>
      <c r="CQ38" s="181">
        <v>0</v>
      </c>
      <c r="CR38" s="181">
        <v>4</v>
      </c>
      <c r="CS38" s="181">
        <v>0</v>
      </c>
      <c r="CT38" s="181">
        <v>0</v>
      </c>
      <c r="CU38" s="181">
        <v>0</v>
      </c>
      <c r="CV38" s="181">
        <v>0</v>
      </c>
      <c r="CW38" s="181">
        <v>0</v>
      </c>
      <c r="CX38" s="181">
        <v>0</v>
      </c>
      <c r="CY38" s="181">
        <v>0</v>
      </c>
      <c r="CZ38" s="181">
        <v>0</v>
      </c>
      <c r="DA38" s="181">
        <v>0</v>
      </c>
      <c r="DB38" s="181">
        <v>0</v>
      </c>
      <c r="DC38" s="181">
        <v>0</v>
      </c>
      <c r="DD38" s="181">
        <v>0</v>
      </c>
      <c r="DE38" s="181">
        <v>0</v>
      </c>
      <c r="DF38" s="181">
        <v>0</v>
      </c>
      <c r="DG38" s="181">
        <v>0</v>
      </c>
      <c r="DH38" s="181">
        <v>0</v>
      </c>
      <c r="DI38" s="181">
        <v>0</v>
      </c>
      <c r="DJ38" s="181">
        <v>0</v>
      </c>
      <c r="DK38" s="181">
        <v>0</v>
      </c>
      <c r="DL38" s="181">
        <v>0</v>
      </c>
      <c r="DM38" s="181">
        <v>0</v>
      </c>
      <c r="DN38" s="181">
        <v>0</v>
      </c>
      <c r="DO38" s="181">
        <v>0</v>
      </c>
      <c r="DP38" s="181">
        <v>0</v>
      </c>
      <c r="DQ38" s="181">
        <v>0</v>
      </c>
      <c r="DR38" s="181">
        <v>0</v>
      </c>
      <c r="DS38" s="181">
        <v>0</v>
      </c>
      <c r="DT38" s="181">
        <v>0</v>
      </c>
      <c r="DU38" s="181">
        <v>0</v>
      </c>
      <c r="DV38" s="181">
        <v>11</v>
      </c>
      <c r="DW38" s="181">
        <v>10</v>
      </c>
      <c r="DX38" s="181">
        <v>5</v>
      </c>
      <c r="DY38" s="181">
        <v>5</v>
      </c>
    </row>
    <row r="39" spans="2:129" ht="13.5">
      <c r="B39" s="230"/>
      <c r="C39" s="248" t="s">
        <v>28</v>
      </c>
      <c r="D39" s="249"/>
      <c r="E39" s="257">
        <f>VLOOKUP($B$14,$Y$5:$DY$642,94,FALSE)</f>
        <v>0</v>
      </c>
      <c r="F39" s="192">
        <f>VLOOKUP($B$14,$Y$5:$DY$642,95,FALSE)</f>
        <v>0</v>
      </c>
      <c r="G39" s="193">
        <f t="shared" si="0"/>
        <v>0</v>
      </c>
      <c r="H39" s="258">
        <f t="shared" si="1"/>
        <v>0</v>
      </c>
      <c r="I39" s="257">
        <f>VLOOKUP($B$14,$Y$5:$DY$642,42,FALSE)</f>
        <v>0</v>
      </c>
      <c r="J39" s="192">
        <f>VLOOKUP($B$14,$Y$5:$DY$642,43,FALSE)</f>
        <v>0</v>
      </c>
      <c r="K39" s="193">
        <f t="shared" si="2"/>
        <v>0</v>
      </c>
      <c r="L39" s="258">
        <f t="shared" si="3"/>
        <v>0</v>
      </c>
      <c r="M39" s="238"/>
      <c r="N39" s="188"/>
      <c r="O39" s="171" t="s">
        <v>1326</v>
      </c>
      <c r="P39" s="172" t="s">
        <v>1353</v>
      </c>
      <c r="Q39" s="171" t="s">
        <v>1503</v>
      </c>
      <c r="R39" s="171" t="s">
        <v>1504</v>
      </c>
      <c r="S39" s="173">
        <v>39</v>
      </c>
      <c r="U39" s="179" t="s">
        <v>1326</v>
      </c>
      <c r="V39" s="179" t="s">
        <v>1353</v>
      </c>
      <c r="W39" s="179" t="s">
        <v>1491</v>
      </c>
      <c r="X39" s="179">
        <v>35</v>
      </c>
      <c r="Y39" s="179" t="s">
        <v>1505</v>
      </c>
      <c r="Z39" s="113">
        <v>0</v>
      </c>
      <c r="AA39" s="113">
        <v>0</v>
      </c>
      <c r="AB39" s="113">
        <v>15</v>
      </c>
      <c r="AC39" s="113">
        <v>2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49</v>
      </c>
      <c r="AK39" s="113">
        <v>31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58</v>
      </c>
      <c r="AW39" s="113">
        <v>23</v>
      </c>
      <c r="AX39" s="113">
        <v>56</v>
      </c>
      <c r="AY39" s="113">
        <v>16</v>
      </c>
      <c r="AZ39" s="113">
        <v>0</v>
      </c>
      <c r="BA39" s="113">
        <v>0</v>
      </c>
      <c r="BB39" s="113">
        <v>0</v>
      </c>
      <c r="BC39" s="113">
        <v>0</v>
      </c>
      <c r="BD39" s="113">
        <v>0</v>
      </c>
      <c r="BE39" s="113">
        <v>0</v>
      </c>
      <c r="BF39" s="113">
        <v>0</v>
      </c>
      <c r="BG39" s="113">
        <v>0</v>
      </c>
      <c r="BH39" s="113">
        <v>170</v>
      </c>
      <c r="BI39" s="113">
        <v>87</v>
      </c>
      <c r="BJ39" s="113">
        <v>106</v>
      </c>
      <c r="BK39" s="113">
        <v>53</v>
      </c>
      <c r="BL39" s="113">
        <v>0</v>
      </c>
      <c r="BM39" s="113">
        <v>0</v>
      </c>
      <c r="BN39" s="113">
        <v>0</v>
      </c>
      <c r="BO39" s="113">
        <v>0</v>
      </c>
      <c r="BP39" s="113">
        <v>0</v>
      </c>
      <c r="BQ39" s="113">
        <v>0</v>
      </c>
      <c r="BR39" s="113">
        <v>15</v>
      </c>
      <c r="BS39" s="113">
        <v>13</v>
      </c>
      <c r="BT39" s="113">
        <v>0</v>
      </c>
      <c r="BU39" s="113">
        <v>0</v>
      </c>
      <c r="BV39" s="179">
        <v>44</v>
      </c>
      <c r="BW39" s="179">
        <v>21</v>
      </c>
      <c r="BX39" s="179">
        <v>1</v>
      </c>
      <c r="BY39" s="179">
        <v>0</v>
      </c>
      <c r="BZ39" s="181">
        <v>0</v>
      </c>
      <c r="CA39" s="181">
        <v>0</v>
      </c>
      <c r="CB39" s="181">
        <v>2</v>
      </c>
      <c r="CC39" s="181">
        <v>0</v>
      </c>
      <c r="CD39" s="181">
        <v>0</v>
      </c>
      <c r="CE39" s="181">
        <v>0</v>
      </c>
      <c r="CF39" s="181">
        <v>0</v>
      </c>
      <c r="CG39" s="181">
        <v>0</v>
      </c>
      <c r="CH39" s="181">
        <v>0</v>
      </c>
      <c r="CI39" s="181">
        <v>0</v>
      </c>
      <c r="CJ39" s="181">
        <v>5</v>
      </c>
      <c r="CK39" s="181">
        <v>2</v>
      </c>
      <c r="CL39" s="181">
        <v>0</v>
      </c>
      <c r="CM39" s="181">
        <v>0</v>
      </c>
      <c r="CN39" s="181">
        <v>0</v>
      </c>
      <c r="CO39" s="181">
        <v>0</v>
      </c>
      <c r="CP39" s="181">
        <v>0</v>
      </c>
      <c r="CQ39" s="181">
        <v>0</v>
      </c>
      <c r="CR39" s="181">
        <v>0</v>
      </c>
      <c r="CS39" s="181">
        <v>0</v>
      </c>
      <c r="CT39" s="181">
        <v>0</v>
      </c>
      <c r="CU39" s="181">
        <v>0</v>
      </c>
      <c r="CV39" s="181">
        <v>0</v>
      </c>
      <c r="CW39" s="181">
        <v>0</v>
      </c>
      <c r="CX39" s="181">
        <v>5</v>
      </c>
      <c r="CY39" s="181">
        <v>5</v>
      </c>
      <c r="CZ39" s="181">
        <v>0</v>
      </c>
      <c r="DA39" s="181">
        <v>0</v>
      </c>
      <c r="DB39" s="181">
        <v>0</v>
      </c>
      <c r="DC39" s="181">
        <v>0</v>
      </c>
      <c r="DD39" s="181">
        <v>0</v>
      </c>
      <c r="DE39" s="181">
        <v>0</v>
      </c>
      <c r="DF39" s="181">
        <v>0</v>
      </c>
      <c r="DG39" s="181">
        <v>0</v>
      </c>
      <c r="DH39" s="181">
        <v>6</v>
      </c>
      <c r="DI39" s="181">
        <v>2</v>
      </c>
      <c r="DJ39" s="181">
        <v>8</v>
      </c>
      <c r="DK39" s="181">
        <v>4</v>
      </c>
      <c r="DL39" s="181">
        <v>0</v>
      </c>
      <c r="DM39" s="181">
        <v>0</v>
      </c>
      <c r="DN39" s="181">
        <v>0</v>
      </c>
      <c r="DO39" s="181">
        <v>0</v>
      </c>
      <c r="DP39" s="181">
        <v>0</v>
      </c>
      <c r="DQ39" s="181">
        <v>0</v>
      </c>
      <c r="DR39" s="181">
        <v>9</v>
      </c>
      <c r="DS39" s="181">
        <v>5</v>
      </c>
      <c r="DT39" s="181">
        <v>0</v>
      </c>
      <c r="DU39" s="181">
        <v>0</v>
      </c>
      <c r="DV39" s="181">
        <v>9</v>
      </c>
      <c r="DW39" s="181">
        <v>3</v>
      </c>
      <c r="DX39" s="181">
        <v>6</v>
      </c>
      <c r="DY39" s="181">
        <v>0</v>
      </c>
    </row>
    <row r="40" spans="2:129" ht="13.5">
      <c r="B40" s="230"/>
      <c r="C40" s="248" t="s">
        <v>29</v>
      </c>
      <c r="D40" s="249"/>
      <c r="E40" s="257">
        <f>VLOOKUP($B$14,$Y$5:$DY$642,96,FALSE)</f>
        <v>0</v>
      </c>
      <c r="F40" s="192">
        <f>VLOOKUP($B$14,$Y$5:$DY$642,97,FALSE)</f>
        <v>0</v>
      </c>
      <c r="G40" s="193">
        <f t="shared" si="0"/>
        <v>0</v>
      </c>
      <c r="H40" s="258">
        <f t="shared" si="1"/>
        <v>0</v>
      </c>
      <c r="I40" s="257">
        <f>VLOOKUP($B$14,$Y$5:$DY$642,44,FALSE)</f>
        <v>0</v>
      </c>
      <c r="J40" s="192">
        <f>VLOOKUP($B$14,$Y$5:$DY$642,45,FALSE)</f>
        <v>0</v>
      </c>
      <c r="K40" s="193">
        <f t="shared" si="2"/>
        <v>0</v>
      </c>
      <c r="L40" s="258">
        <f t="shared" si="3"/>
        <v>0</v>
      </c>
      <c r="M40" s="238"/>
      <c r="N40" s="188"/>
      <c r="O40" s="171" t="s">
        <v>1326</v>
      </c>
      <c r="P40" s="172" t="s">
        <v>1353</v>
      </c>
      <c r="Q40" s="171" t="s">
        <v>1506</v>
      </c>
      <c r="R40" s="171" t="s">
        <v>1507</v>
      </c>
      <c r="S40" s="173">
        <v>40</v>
      </c>
      <c r="U40" s="179" t="s">
        <v>1326</v>
      </c>
      <c r="V40" s="179" t="s">
        <v>1353</v>
      </c>
      <c r="W40" s="179" t="s">
        <v>1494</v>
      </c>
      <c r="X40" s="179">
        <v>36</v>
      </c>
      <c r="Y40" s="179" t="s">
        <v>1508</v>
      </c>
      <c r="Z40" s="113">
        <v>6384</v>
      </c>
      <c r="AA40" s="113">
        <v>315</v>
      </c>
      <c r="AB40" s="113">
        <v>1022</v>
      </c>
      <c r="AC40" s="113">
        <v>144</v>
      </c>
      <c r="AD40" s="113">
        <v>3570</v>
      </c>
      <c r="AE40" s="113">
        <v>316</v>
      </c>
      <c r="AF40" s="113">
        <v>1750</v>
      </c>
      <c r="AG40" s="113">
        <v>136</v>
      </c>
      <c r="AH40" s="113">
        <v>3541</v>
      </c>
      <c r="AI40" s="113">
        <v>469</v>
      </c>
      <c r="AJ40" s="113">
        <v>2042</v>
      </c>
      <c r="AK40" s="113">
        <v>231</v>
      </c>
      <c r="AL40" s="113">
        <v>3537</v>
      </c>
      <c r="AM40" s="113">
        <v>405</v>
      </c>
      <c r="AN40" s="113">
        <v>0</v>
      </c>
      <c r="AO40" s="113">
        <v>0</v>
      </c>
      <c r="AP40" s="113">
        <v>0</v>
      </c>
      <c r="AQ40" s="113">
        <v>0</v>
      </c>
      <c r="AR40" s="113">
        <v>3122</v>
      </c>
      <c r="AS40" s="113">
        <v>296</v>
      </c>
      <c r="AT40" s="113">
        <v>1534</v>
      </c>
      <c r="AU40" s="113">
        <v>244</v>
      </c>
      <c r="AV40" s="113">
        <v>1481</v>
      </c>
      <c r="AW40" s="113">
        <v>110</v>
      </c>
      <c r="AX40" s="113">
        <v>0</v>
      </c>
      <c r="AY40" s="113">
        <v>0</v>
      </c>
      <c r="AZ40" s="113">
        <v>1670</v>
      </c>
      <c r="BA40" s="113">
        <v>124</v>
      </c>
      <c r="BB40" s="113">
        <v>1961</v>
      </c>
      <c r="BC40" s="113">
        <v>188</v>
      </c>
      <c r="BD40" s="113">
        <v>0</v>
      </c>
      <c r="BE40" s="113">
        <v>0</v>
      </c>
      <c r="BF40" s="113">
        <v>3070</v>
      </c>
      <c r="BG40" s="113">
        <v>300</v>
      </c>
      <c r="BH40" s="113">
        <v>1201</v>
      </c>
      <c r="BI40" s="113">
        <v>83</v>
      </c>
      <c r="BJ40" s="113">
        <v>0</v>
      </c>
      <c r="BK40" s="113">
        <v>0</v>
      </c>
      <c r="BL40" s="113">
        <v>719</v>
      </c>
      <c r="BM40" s="113">
        <v>45</v>
      </c>
      <c r="BN40" s="113">
        <v>535</v>
      </c>
      <c r="BO40" s="113">
        <v>70</v>
      </c>
      <c r="BP40" s="113">
        <v>851</v>
      </c>
      <c r="BQ40" s="113">
        <v>84</v>
      </c>
      <c r="BR40" s="113">
        <v>474</v>
      </c>
      <c r="BS40" s="113">
        <v>45</v>
      </c>
      <c r="BT40" s="113">
        <v>836</v>
      </c>
      <c r="BU40" s="113">
        <v>83</v>
      </c>
      <c r="BV40" s="179">
        <v>0</v>
      </c>
      <c r="BW40" s="179">
        <v>0</v>
      </c>
      <c r="BX40" s="179">
        <v>0</v>
      </c>
      <c r="BY40" s="179">
        <v>0</v>
      </c>
      <c r="BZ40" s="181">
        <v>5</v>
      </c>
      <c r="CA40" s="181">
        <v>3</v>
      </c>
      <c r="CB40" s="181">
        <v>7</v>
      </c>
      <c r="CC40" s="181">
        <v>2</v>
      </c>
      <c r="CD40" s="181">
        <v>4</v>
      </c>
      <c r="CE40" s="181">
        <v>2</v>
      </c>
      <c r="CF40" s="181">
        <v>9</v>
      </c>
      <c r="CG40" s="181">
        <v>7</v>
      </c>
      <c r="CH40" s="181">
        <v>3</v>
      </c>
      <c r="CI40" s="181">
        <v>2</v>
      </c>
      <c r="CJ40" s="181">
        <v>6</v>
      </c>
      <c r="CK40" s="181">
        <v>4</v>
      </c>
      <c r="CL40" s="181">
        <v>2</v>
      </c>
      <c r="CM40" s="181">
        <v>0</v>
      </c>
      <c r="CN40" s="181">
        <v>0</v>
      </c>
      <c r="CO40" s="181">
        <v>0</v>
      </c>
      <c r="CP40" s="181">
        <v>0</v>
      </c>
      <c r="CQ40" s="181">
        <v>0</v>
      </c>
      <c r="CR40" s="181">
        <v>2</v>
      </c>
      <c r="CS40" s="181">
        <v>0</v>
      </c>
      <c r="CT40" s="181">
        <v>5</v>
      </c>
      <c r="CU40" s="181">
        <v>4</v>
      </c>
      <c r="CV40" s="181">
        <v>2</v>
      </c>
      <c r="CW40" s="181">
        <v>2</v>
      </c>
      <c r="CX40" s="181">
        <v>0</v>
      </c>
      <c r="CY40" s="181">
        <v>0</v>
      </c>
      <c r="CZ40" s="181">
        <v>6</v>
      </c>
      <c r="DA40" s="181">
        <v>0</v>
      </c>
      <c r="DB40" s="181">
        <v>6</v>
      </c>
      <c r="DC40" s="181">
        <v>5</v>
      </c>
      <c r="DD40" s="181">
        <v>0</v>
      </c>
      <c r="DE40" s="181">
        <v>0</v>
      </c>
      <c r="DF40" s="181">
        <v>8</v>
      </c>
      <c r="DG40" s="181">
        <v>2</v>
      </c>
      <c r="DH40" s="181">
        <v>7</v>
      </c>
      <c r="DI40" s="181">
        <v>5</v>
      </c>
      <c r="DJ40" s="181">
        <v>0</v>
      </c>
      <c r="DK40" s="181">
        <v>0</v>
      </c>
      <c r="DL40" s="181">
        <v>8</v>
      </c>
      <c r="DM40" s="181">
        <v>6</v>
      </c>
      <c r="DN40" s="181">
        <v>6</v>
      </c>
      <c r="DO40" s="181">
        <v>6</v>
      </c>
      <c r="DP40" s="181">
        <v>8</v>
      </c>
      <c r="DQ40" s="181">
        <v>8</v>
      </c>
      <c r="DR40" s="181">
        <v>8</v>
      </c>
      <c r="DS40" s="181">
        <v>2</v>
      </c>
      <c r="DT40" s="181">
        <v>7</v>
      </c>
      <c r="DU40" s="181">
        <v>0</v>
      </c>
      <c r="DV40" s="181">
        <v>0</v>
      </c>
      <c r="DW40" s="181">
        <v>0</v>
      </c>
      <c r="DX40" s="181">
        <v>0</v>
      </c>
      <c r="DY40" s="181">
        <v>0</v>
      </c>
    </row>
    <row r="41" spans="2:129" ht="13.5">
      <c r="B41" s="230"/>
      <c r="C41" s="248" t="s">
        <v>30</v>
      </c>
      <c r="D41" s="249"/>
      <c r="E41" s="257">
        <f>VLOOKUP($B$14,$Y$5:$DY$642,98,FALSE)</f>
        <v>0</v>
      </c>
      <c r="F41" s="192">
        <f>VLOOKUP($B$14,$Y$5:$DY$642,99,FALSE)</f>
        <v>0</v>
      </c>
      <c r="G41" s="193">
        <f t="shared" si="0"/>
        <v>0</v>
      </c>
      <c r="H41" s="258">
        <f t="shared" si="1"/>
        <v>0</v>
      </c>
      <c r="I41" s="257">
        <f>VLOOKUP($B$14,$Y$5:$DY$642,46,FALSE)</f>
        <v>0</v>
      </c>
      <c r="J41" s="192">
        <f>VLOOKUP($B$14,$Y$5:$DY$642,47,FALSE)</f>
        <v>0</v>
      </c>
      <c r="K41" s="193">
        <f t="shared" si="2"/>
        <v>0</v>
      </c>
      <c r="L41" s="258">
        <f t="shared" si="3"/>
        <v>0</v>
      </c>
      <c r="M41" s="238"/>
      <c r="N41" s="188"/>
      <c r="O41" s="171" t="s">
        <v>1326</v>
      </c>
      <c r="P41" s="172" t="s">
        <v>1353</v>
      </c>
      <c r="Q41" s="171" t="s">
        <v>334</v>
      </c>
      <c r="R41" s="171" t="s">
        <v>335</v>
      </c>
      <c r="S41" s="173">
        <v>41</v>
      </c>
      <c r="U41" s="179" t="s">
        <v>1326</v>
      </c>
      <c r="V41" s="179" t="s">
        <v>1353</v>
      </c>
      <c r="W41" s="179" t="s">
        <v>1497</v>
      </c>
      <c r="X41" s="179">
        <v>37</v>
      </c>
      <c r="Y41" s="179" t="s">
        <v>1509</v>
      </c>
      <c r="Z41" s="113">
        <v>0</v>
      </c>
      <c r="AA41" s="113">
        <v>0</v>
      </c>
      <c r="AB41" s="113">
        <v>0</v>
      </c>
      <c r="AC41" s="113">
        <v>0</v>
      </c>
      <c r="AD41" s="113">
        <v>41</v>
      </c>
      <c r="AE41" s="113">
        <v>14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3">
        <v>0</v>
      </c>
      <c r="BH41" s="113">
        <v>52</v>
      </c>
      <c r="BI41" s="113">
        <v>17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  <c r="BP41" s="113">
        <v>0</v>
      </c>
      <c r="BQ41" s="113">
        <v>0</v>
      </c>
      <c r="BR41" s="113">
        <v>0</v>
      </c>
      <c r="BS41" s="113">
        <v>0</v>
      </c>
      <c r="BT41" s="113">
        <v>0</v>
      </c>
      <c r="BU41" s="113">
        <v>0</v>
      </c>
      <c r="BV41" s="179">
        <v>183</v>
      </c>
      <c r="BW41" s="179">
        <v>59</v>
      </c>
      <c r="BX41" s="179">
        <v>67</v>
      </c>
      <c r="BY41" s="179">
        <v>55</v>
      </c>
      <c r="BZ41" s="181">
        <v>0</v>
      </c>
      <c r="CA41" s="181">
        <v>0</v>
      </c>
      <c r="CB41" s="181">
        <v>0</v>
      </c>
      <c r="CC41" s="181">
        <v>0</v>
      </c>
      <c r="CD41" s="181">
        <v>0</v>
      </c>
      <c r="CE41" s="181">
        <v>0</v>
      </c>
      <c r="CF41" s="181">
        <v>0</v>
      </c>
      <c r="CG41" s="181">
        <v>0</v>
      </c>
      <c r="CH41" s="181">
        <v>0</v>
      </c>
      <c r="CI41" s="181">
        <v>0</v>
      </c>
      <c r="CJ41" s="181">
        <v>0</v>
      </c>
      <c r="CK41" s="181">
        <v>0</v>
      </c>
      <c r="CL41" s="181">
        <v>0</v>
      </c>
      <c r="CM41" s="181">
        <v>0</v>
      </c>
      <c r="CN41" s="181">
        <v>0</v>
      </c>
      <c r="CO41" s="181">
        <v>0</v>
      </c>
      <c r="CP41" s="181">
        <v>0</v>
      </c>
      <c r="CQ41" s="181">
        <v>0</v>
      </c>
      <c r="CR41" s="181">
        <v>0</v>
      </c>
      <c r="CS41" s="181">
        <v>0</v>
      </c>
      <c r="CT41" s="181">
        <v>0</v>
      </c>
      <c r="CU41" s="181">
        <v>0</v>
      </c>
      <c r="CV41" s="181">
        <v>0</v>
      </c>
      <c r="CW41" s="181">
        <v>0</v>
      </c>
      <c r="CX41" s="181">
        <v>0</v>
      </c>
      <c r="CY41" s="181">
        <v>0</v>
      </c>
      <c r="CZ41" s="181">
        <v>0</v>
      </c>
      <c r="DA41" s="181">
        <v>0</v>
      </c>
      <c r="DB41" s="181">
        <v>0</v>
      </c>
      <c r="DC41" s="181">
        <v>0</v>
      </c>
      <c r="DD41" s="181">
        <v>0</v>
      </c>
      <c r="DE41" s="181">
        <v>0</v>
      </c>
      <c r="DF41" s="181">
        <v>0</v>
      </c>
      <c r="DG41" s="181">
        <v>0</v>
      </c>
      <c r="DH41" s="181">
        <v>0</v>
      </c>
      <c r="DI41" s="181">
        <v>0</v>
      </c>
      <c r="DJ41" s="181">
        <v>0</v>
      </c>
      <c r="DK41" s="181">
        <v>0</v>
      </c>
      <c r="DL41" s="181">
        <v>0</v>
      </c>
      <c r="DM41" s="181">
        <v>0</v>
      </c>
      <c r="DN41" s="181">
        <v>0</v>
      </c>
      <c r="DO41" s="181">
        <v>0</v>
      </c>
      <c r="DP41" s="181">
        <v>0</v>
      </c>
      <c r="DQ41" s="181">
        <v>0</v>
      </c>
      <c r="DR41" s="181">
        <v>0</v>
      </c>
      <c r="DS41" s="181">
        <v>0</v>
      </c>
      <c r="DT41" s="181">
        <v>0</v>
      </c>
      <c r="DU41" s="181">
        <v>0</v>
      </c>
      <c r="DV41" s="181">
        <v>9</v>
      </c>
      <c r="DW41" s="181">
        <v>3</v>
      </c>
      <c r="DX41" s="181">
        <v>6</v>
      </c>
      <c r="DY41" s="181">
        <v>1</v>
      </c>
    </row>
    <row r="42" spans="2:129" ht="13.5">
      <c r="B42" s="230"/>
      <c r="C42" s="248" t="s">
        <v>31</v>
      </c>
      <c r="D42" s="249"/>
      <c r="E42" s="257">
        <f>VLOOKUP($B$14,$Y$5:$DY$642,100,FALSE)</f>
        <v>0</v>
      </c>
      <c r="F42" s="192">
        <f>VLOOKUP($B$14,$Y$5:$DY$642,101,FALSE)</f>
        <v>0</v>
      </c>
      <c r="G42" s="193">
        <f t="shared" si="0"/>
        <v>0</v>
      </c>
      <c r="H42" s="258">
        <f t="shared" si="1"/>
        <v>0</v>
      </c>
      <c r="I42" s="257">
        <f>VLOOKUP($B$14,$Y$5:$DY$642,48,FALSE)</f>
        <v>0</v>
      </c>
      <c r="J42" s="192">
        <f>VLOOKUP($B$14,$Y$5:$DY$642,49,FALSE)</f>
        <v>0</v>
      </c>
      <c r="K42" s="193">
        <f t="shared" si="2"/>
        <v>0</v>
      </c>
      <c r="L42" s="258">
        <f t="shared" si="3"/>
        <v>0</v>
      </c>
      <c r="M42" s="238"/>
      <c r="N42" s="188"/>
      <c r="O42" s="171" t="s">
        <v>1326</v>
      </c>
      <c r="P42" s="172" t="s">
        <v>1353</v>
      </c>
      <c r="Q42" s="171" t="s">
        <v>1510</v>
      </c>
      <c r="R42" s="171" t="s">
        <v>1511</v>
      </c>
      <c r="S42" s="173">
        <v>42</v>
      </c>
      <c r="U42" s="179" t="s">
        <v>1326</v>
      </c>
      <c r="V42" s="179" t="s">
        <v>1353</v>
      </c>
      <c r="W42" s="179" t="s">
        <v>1500</v>
      </c>
      <c r="X42" s="179">
        <v>38</v>
      </c>
      <c r="Y42" s="179" t="s">
        <v>1512</v>
      </c>
      <c r="Z42" s="113">
        <v>0</v>
      </c>
      <c r="AA42" s="113">
        <v>0</v>
      </c>
      <c r="AB42" s="113">
        <v>6721</v>
      </c>
      <c r="AC42" s="113">
        <v>989</v>
      </c>
      <c r="AD42" s="113">
        <v>2552</v>
      </c>
      <c r="AE42" s="113">
        <v>672</v>
      </c>
      <c r="AF42" s="113">
        <v>983</v>
      </c>
      <c r="AG42" s="113">
        <v>254</v>
      </c>
      <c r="AH42" s="113">
        <v>804</v>
      </c>
      <c r="AI42" s="113">
        <v>190</v>
      </c>
      <c r="AJ42" s="113">
        <v>1623</v>
      </c>
      <c r="AK42" s="113">
        <v>394</v>
      </c>
      <c r="AL42" s="113">
        <v>1477</v>
      </c>
      <c r="AM42" s="113">
        <v>395</v>
      </c>
      <c r="AN42" s="113">
        <v>507</v>
      </c>
      <c r="AO42" s="113">
        <v>80</v>
      </c>
      <c r="AP42" s="113">
        <v>997</v>
      </c>
      <c r="AQ42" s="113">
        <v>267</v>
      </c>
      <c r="AR42" s="113">
        <v>2245</v>
      </c>
      <c r="AS42" s="113">
        <v>514</v>
      </c>
      <c r="AT42" s="113">
        <v>1602</v>
      </c>
      <c r="AU42" s="113">
        <v>494</v>
      </c>
      <c r="AV42" s="113">
        <v>3595</v>
      </c>
      <c r="AW42" s="113">
        <v>871</v>
      </c>
      <c r="AX42" s="113">
        <v>546</v>
      </c>
      <c r="AY42" s="113">
        <v>115</v>
      </c>
      <c r="AZ42" s="113">
        <v>514</v>
      </c>
      <c r="BA42" s="113">
        <v>141</v>
      </c>
      <c r="BB42" s="113">
        <v>0</v>
      </c>
      <c r="BC42" s="113">
        <v>0</v>
      </c>
      <c r="BD42" s="113">
        <v>0</v>
      </c>
      <c r="BE42" s="113">
        <v>0</v>
      </c>
      <c r="BF42" s="113">
        <v>644</v>
      </c>
      <c r="BG42" s="113">
        <v>147</v>
      </c>
      <c r="BH42" s="113">
        <v>4335</v>
      </c>
      <c r="BI42" s="113">
        <v>645</v>
      </c>
      <c r="BJ42" s="113">
        <v>1984</v>
      </c>
      <c r="BK42" s="113">
        <v>350</v>
      </c>
      <c r="BL42" s="113">
        <v>416</v>
      </c>
      <c r="BM42" s="113">
        <v>112</v>
      </c>
      <c r="BN42" s="113">
        <v>744</v>
      </c>
      <c r="BO42" s="113">
        <v>139</v>
      </c>
      <c r="BP42" s="113">
        <v>467</v>
      </c>
      <c r="BQ42" s="113">
        <v>117</v>
      </c>
      <c r="BR42" s="113">
        <v>1065</v>
      </c>
      <c r="BS42" s="113">
        <v>212</v>
      </c>
      <c r="BT42" s="113">
        <v>401</v>
      </c>
      <c r="BU42" s="113">
        <v>94</v>
      </c>
      <c r="BV42" s="179">
        <v>0</v>
      </c>
      <c r="BW42" s="179">
        <v>0</v>
      </c>
      <c r="BX42" s="179">
        <v>0</v>
      </c>
      <c r="BY42" s="179">
        <v>0</v>
      </c>
      <c r="BZ42" s="181">
        <v>0</v>
      </c>
      <c r="CA42" s="181">
        <v>0</v>
      </c>
      <c r="CB42" s="181">
        <v>5</v>
      </c>
      <c r="CC42" s="181">
        <v>3</v>
      </c>
      <c r="CD42" s="181">
        <v>1</v>
      </c>
      <c r="CE42" s="181">
        <v>0</v>
      </c>
      <c r="CF42" s="181">
        <v>3</v>
      </c>
      <c r="CG42" s="181">
        <v>1</v>
      </c>
      <c r="CH42" s="181">
        <v>12</v>
      </c>
      <c r="CI42" s="181">
        <v>7</v>
      </c>
      <c r="CJ42" s="181">
        <v>1</v>
      </c>
      <c r="CK42" s="181">
        <v>0</v>
      </c>
      <c r="CL42" s="181">
        <v>9</v>
      </c>
      <c r="CM42" s="181">
        <v>2</v>
      </c>
      <c r="CN42" s="181">
        <v>2</v>
      </c>
      <c r="CO42" s="181">
        <v>0</v>
      </c>
      <c r="CP42" s="181">
        <v>4</v>
      </c>
      <c r="CQ42" s="181">
        <v>3</v>
      </c>
      <c r="CR42" s="181">
        <v>2</v>
      </c>
      <c r="CS42" s="181">
        <v>0</v>
      </c>
      <c r="CT42" s="181">
        <v>4</v>
      </c>
      <c r="CU42" s="181">
        <v>1</v>
      </c>
      <c r="CV42" s="181">
        <v>5</v>
      </c>
      <c r="CW42" s="181">
        <v>2</v>
      </c>
      <c r="CX42" s="181">
        <v>7</v>
      </c>
      <c r="CY42" s="181">
        <v>1</v>
      </c>
      <c r="CZ42" s="181">
        <v>8</v>
      </c>
      <c r="DA42" s="181">
        <v>2</v>
      </c>
      <c r="DB42" s="181">
        <v>0</v>
      </c>
      <c r="DC42" s="181">
        <v>0</v>
      </c>
      <c r="DD42" s="181">
        <v>0</v>
      </c>
      <c r="DE42" s="181">
        <v>0</v>
      </c>
      <c r="DF42" s="181">
        <v>6</v>
      </c>
      <c r="DG42" s="181">
        <v>5</v>
      </c>
      <c r="DH42" s="181">
        <v>4</v>
      </c>
      <c r="DI42" s="181">
        <v>2</v>
      </c>
      <c r="DJ42" s="181">
        <v>8</v>
      </c>
      <c r="DK42" s="181">
        <v>6</v>
      </c>
      <c r="DL42" s="181">
        <v>2</v>
      </c>
      <c r="DM42" s="181">
        <v>0</v>
      </c>
      <c r="DN42" s="181">
        <v>6</v>
      </c>
      <c r="DO42" s="181">
        <v>6</v>
      </c>
      <c r="DP42" s="181">
        <v>11</v>
      </c>
      <c r="DQ42" s="181">
        <v>7</v>
      </c>
      <c r="DR42" s="181">
        <v>1</v>
      </c>
      <c r="DS42" s="181">
        <v>0</v>
      </c>
      <c r="DT42" s="181">
        <v>0</v>
      </c>
      <c r="DU42" s="181">
        <v>0</v>
      </c>
      <c r="DV42" s="181">
        <v>0</v>
      </c>
      <c r="DW42" s="181">
        <v>0</v>
      </c>
      <c r="DX42" s="181">
        <v>0</v>
      </c>
      <c r="DY42" s="181">
        <v>0</v>
      </c>
    </row>
    <row r="43" spans="2:129" ht="13.5">
      <c r="B43" s="230"/>
      <c r="C43" s="248" t="s">
        <v>32</v>
      </c>
      <c r="D43" s="249"/>
      <c r="E43" s="257">
        <f>VLOOKUP($B$14,$Y$5:$DY$642,102,FALSE)</f>
        <v>8</v>
      </c>
      <c r="F43" s="192">
        <f>VLOOKUP($B$14,$Y$5:$DY$642,103,FALSE)</f>
        <v>8</v>
      </c>
      <c r="G43" s="193">
        <f t="shared" si="0"/>
        <v>0.5714285714285714</v>
      </c>
      <c r="H43" s="258">
        <f t="shared" si="1"/>
        <v>1</v>
      </c>
      <c r="I43" s="257">
        <f>VLOOKUP($B$14,$Y$5:$DY$642,50,FALSE)</f>
        <v>66</v>
      </c>
      <c r="J43" s="192">
        <f>VLOOKUP($B$14,$Y$5:$DY$642,51,FALSE)</f>
        <v>16</v>
      </c>
      <c r="K43" s="193">
        <f t="shared" si="2"/>
        <v>0.16161616161616163</v>
      </c>
      <c r="L43" s="258">
        <f t="shared" si="3"/>
        <v>0.24242424242424243</v>
      </c>
      <c r="M43" s="238"/>
      <c r="N43" s="188"/>
      <c r="O43" s="171" t="s">
        <v>1326</v>
      </c>
      <c r="P43" s="172" t="s">
        <v>1353</v>
      </c>
      <c r="Q43" s="171" t="s">
        <v>339</v>
      </c>
      <c r="R43" s="171" t="s">
        <v>1513</v>
      </c>
      <c r="S43" s="173">
        <v>43</v>
      </c>
      <c r="U43" s="179" t="s">
        <v>1326</v>
      </c>
      <c r="V43" s="179" t="s">
        <v>1353</v>
      </c>
      <c r="W43" s="179" t="s">
        <v>1503</v>
      </c>
      <c r="X43" s="179">
        <v>39</v>
      </c>
      <c r="Y43" s="179" t="s">
        <v>1514</v>
      </c>
      <c r="Z43" s="113">
        <v>0</v>
      </c>
      <c r="AA43" s="113">
        <v>0</v>
      </c>
      <c r="AB43" s="113">
        <v>0</v>
      </c>
      <c r="AC43" s="113">
        <v>0</v>
      </c>
      <c r="AD43" s="113">
        <v>1919</v>
      </c>
      <c r="AE43" s="113">
        <v>444</v>
      </c>
      <c r="AF43" s="113">
        <v>681</v>
      </c>
      <c r="AG43" s="113">
        <v>174</v>
      </c>
      <c r="AH43" s="113">
        <v>1240</v>
      </c>
      <c r="AI43" s="113">
        <v>355</v>
      </c>
      <c r="AJ43" s="113">
        <v>995</v>
      </c>
      <c r="AK43" s="113">
        <v>241</v>
      </c>
      <c r="AL43" s="113">
        <v>43</v>
      </c>
      <c r="AM43" s="113">
        <v>9</v>
      </c>
      <c r="AN43" s="113">
        <v>0</v>
      </c>
      <c r="AO43" s="113">
        <v>0</v>
      </c>
      <c r="AP43" s="113">
        <v>0</v>
      </c>
      <c r="AQ43" s="113">
        <v>0</v>
      </c>
      <c r="AR43" s="113">
        <v>968</v>
      </c>
      <c r="AS43" s="113">
        <v>297</v>
      </c>
      <c r="AT43" s="113">
        <v>1311</v>
      </c>
      <c r="AU43" s="113">
        <v>295</v>
      </c>
      <c r="AV43" s="113">
        <v>981</v>
      </c>
      <c r="AW43" s="113">
        <v>259</v>
      </c>
      <c r="AX43" s="113">
        <v>189</v>
      </c>
      <c r="AY43" s="113">
        <v>42</v>
      </c>
      <c r="AZ43" s="113">
        <v>354</v>
      </c>
      <c r="BA43" s="113">
        <v>89</v>
      </c>
      <c r="BB43" s="113">
        <v>260</v>
      </c>
      <c r="BC43" s="113">
        <v>81</v>
      </c>
      <c r="BD43" s="113">
        <v>13</v>
      </c>
      <c r="BE43" s="113">
        <v>1</v>
      </c>
      <c r="BF43" s="113">
        <v>705</v>
      </c>
      <c r="BG43" s="113">
        <v>173</v>
      </c>
      <c r="BH43" s="113">
        <v>966</v>
      </c>
      <c r="BI43" s="113">
        <v>305</v>
      </c>
      <c r="BJ43" s="113">
        <v>252</v>
      </c>
      <c r="BK43" s="113">
        <v>69</v>
      </c>
      <c r="BL43" s="113">
        <v>840</v>
      </c>
      <c r="BM43" s="113">
        <v>238</v>
      </c>
      <c r="BN43" s="113">
        <v>165</v>
      </c>
      <c r="BO43" s="113">
        <v>48</v>
      </c>
      <c r="BP43" s="113">
        <v>23</v>
      </c>
      <c r="BQ43" s="113">
        <v>4</v>
      </c>
      <c r="BR43" s="113">
        <v>314</v>
      </c>
      <c r="BS43" s="113">
        <v>89</v>
      </c>
      <c r="BT43" s="113">
        <v>258</v>
      </c>
      <c r="BU43" s="113">
        <v>70</v>
      </c>
      <c r="BV43" s="179">
        <v>0</v>
      </c>
      <c r="BW43" s="179">
        <v>0</v>
      </c>
      <c r="BX43" s="179">
        <v>0</v>
      </c>
      <c r="BY43" s="179">
        <v>0</v>
      </c>
      <c r="BZ43" s="181">
        <v>0</v>
      </c>
      <c r="CA43" s="181">
        <v>0</v>
      </c>
      <c r="CB43" s="181">
        <v>0</v>
      </c>
      <c r="CC43" s="181">
        <v>0</v>
      </c>
      <c r="CD43" s="181">
        <v>6</v>
      </c>
      <c r="CE43" s="181">
        <v>2</v>
      </c>
      <c r="CF43" s="181">
        <v>8</v>
      </c>
      <c r="CG43" s="181">
        <v>7</v>
      </c>
      <c r="CH43" s="181">
        <v>11</v>
      </c>
      <c r="CI43" s="181">
        <v>5</v>
      </c>
      <c r="CJ43" s="181">
        <v>6</v>
      </c>
      <c r="CK43" s="181">
        <v>4</v>
      </c>
      <c r="CL43" s="181">
        <v>4</v>
      </c>
      <c r="CM43" s="181">
        <v>0</v>
      </c>
      <c r="CN43" s="181">
        <v>0</v>
      </c>
      <c r="CO43" s="181">
        <v>0</v>
      </c>
      <c r="CP43" s="181">
        <v>0</v>
      </c>
      <c r="CQ43" s="181">
        <v>0</v>
      </c>
      <c r="CR43" s="181">
        <v>10</v>
      </c>
      <c r="CS43" s="181">
        <v>4</v>
      </c>
      <c r="CT43" s="181">
        <v>6</v>
      </c>
      <c r="CU43" s="181">
        <v>5</v>
      </c>
      <c r="CV43" s="181">
        <v>11</v>
      </c>
      <c r="CW43" s="181">
        <v>8</v>
      </c>
      <c r="CX43" s="181">
        <v>7</v>
      </c>
      <c r="CY43" s="181">
        <v>2</v>
      </c>
      <c r="CZ43" s="181">
        <v>1</v>
      </c>
      <c r="DA43" s="181">
        <v>1</v>
      </c>
      <c r="DB43" s="181">
        <v>3</v>
      </c>
      <c r="DC43" s="181">
        <v>1</v>
      </c>
      <c r="DD43" s="181">
        <v>7</v>
      </c>
      <c r="DE43" s="181">
        <v>2</v>
      </c>
      <c r="DF43" s="181">
        <v>0</v>
      </c>
      <c r="DG43" s="181">
        <v>0</v>
      </c>
      <c r="DH43" s="181">
        <v>1</v>
      </c>
      <c r="DI43" s="181">
        <v>1</v>
      </c>
      <c r="DJ43" s="181">
        <v>0</v>
      </c>
      <c r="DK43" s="181">
        <v>0</v>
      </c>
      <c r="DL43" s="181">
        <v>2</v>
      </c>
      <c r="DM43" s="181">
        <v>1</v>
      </c>
      <c r="DN43" s="181">
        <v>7</v>
      </c>
      <c r="DO43" s="181">
        <v>6</v>
      </c>
      <c r="DP43" s="181">
        <v>4</v>
      </c>
      <c r="DQ43" s="181">
        <v>4</v>
      </c>
      <c r="DR43" s="181">
        <v>4</v>
      </c>
      <c r="DS43" s="181">
        <v>1</v>
      </c>
      <c r="DT43" s="181">
        <v>1</v>
      </c>
      <c r="DU43" s="181">
        <v>1</v>
      </c>
      <c r="DV43" s="181">
        <v>0</v>
      </c>
      <c r="DW43" s="181">
        <v>0</v>
      </c>
      <c r="DX43" s="181">
        <v>0</v>
      </c>
      <c r="DY43" s="181">
        <v>0</v>
      </c>
    </row>
    <row r="44" spans="1:130" s="191" customFormat="1" ht="13.5">
      <c r="A44" s="187"/>
      <c r="B44" s="230"/>
      <c r="C44" s="248" t="s">
        <v>33</v>
      </c>
      <c r="D44" s="249"/>
      <c r="E44" s="257">
        <f>VLOOKUP($B$14,$Y$5:$DY$642,104,FALSE)</f>
        <v>0</v>
      </c>
      <c r="F44" s="192">
        <f>VLOOKUP($B$14,$Y$5:$DY$642,105,FALSE)</f>
        <v>0</v>
      </c>
      <c r="G44" s="193">
        <f t="shared" si="0"/>
        <v>0</v>
      </c>
      <c r="H44" s="258">
        <f t="shared" si="1"/>
        <v>0</v>
      </c>
      <c r="I44" s="257">
        <f>VLOOKUP($B$14,$Y$5:$DY$642,52,FALSE)</f>
        <v>0</v>
      </c>
      <c r="J44" s="192">
        <f>VLOOKUP($B$14,$Y$5:$DY$642,53,FALSE)</f>
        <v>0</v>
      </c>
      <c r="K44" s="193">
        <f t="shared" si="2"/>
        <v>0</v>
      </c>
      <c r="L44" s="258">
        <f t="shared" si="3"/>
        <v>0</v>
      </c>
      <c r="M44" s="238"/>
      <c r="N44" s="188"/>
      <c r="O44" s="171" t="s">
        <v>1326</v>
      </c>
      <c r="P44" s="172" t="s">
        <v>1353</v>
      </c>
      <c r="Q44" s="171" t="s">
        <v>1515</v>
      </c>
      <c r="R44" s="171" t="s">
        <v>1516</v>
      </c>
      <c r="S44" s="173">
        <v>44</v>
      </c>
      <c r="T44" s="189"/>
      <c r="U44" s="179" t="s">
        <v>1326</v>
      </c>
      <c r="V44" s="179" t="s">
        <v>1353</v>
      </c>
      <c r="W44" s="179" t="s">
        <v>1506</v>
      </c>
      <c r="X44" s="179">
        <v>40</v>
      </c>
      <c r="Y44" s="179" t="s">
        <v>332</v>
      </c>
      <c r="Z44" s="113">
        <v>0</v>
      </c>
      <c r="AA44" s="113">
        <v>0</v>
      </c>
      <c r="AB44" s="113">
        <v>1305</v>
      </c>
      <c r="AC44" s="113">
        <v>196</v>
      </c>
      <c r="AD44" s="113">
        <v>3206</v>
      </c>
      <c r="AE44" s="113">
        <v>652</v>
      </c>
      <c r="AF44" s="113">
        <v>189</v>
      </c>
      <c r="AG44" s="113">
        <v>51</v>
      </c>
      <c r="AH44" s="113">
        <v>768</v>
      </c>
      <c r="AI44" s="113">
        <v>145</v>
      </c>
      <c r="AJ44" s="113">
        <v>237</v>
      </c>
      <c r="AK44" s="113">
        <v>76</v>
      </c>
      <c r="AL44" s="113">
        <v>109</v>
      </c>
      <c r="AM44" s="113">
        <v>38</v>
      </c>
      <c r="AN44" s="113">
        <v>0</v>
      </c>
      <c r="AO44" s="113">
        <v>0</v>
      </c>
      <c r="AP44" s="113">
        <v>0</v>
      </c>
      <c r="AQ44" s="113">
        <v>0</v>
      </c>
      <c r="AR44" s="113">
        <v>415</v>
      </c>
      <c r="AS44" s="113">
        <v>65</v>
      </c>
      <c r="AT44" s="113">
        <v>620</v>
      </c>
      <c r="AU44" s="113">
        <v>183</v>
      </c>
      <c r="AV44" s="113">
        <v>1094</v>
      </c>
      <c r="AW44" s="113">
        <v>188</v>
      </c>
      <c r="AX44" s="113">
        <v>233</v>
      </c>
      <c r="AY44" s="113">
        <v>45</v>
      </c>
      <c r="AZ44" s="113">
        <v>681</v>
      </c>
      <c r="BA44" s="113">
        <v>136</v>
      </c>
      <c r="BB44" s="113">
        <v>243</v>
      </c>
      <c r="BC44" s="113">
        <v>52</v>
      </c>
      <c r="BD44" s="113">
        <v>0</v>
      </c>
      <c r="BE44" s="113">
        <v>0</v>
      </c>
      <c r="BF44" s="113">
        <v>466</v>
      </c>
      <c r="BG44" s="113">
        <v>101</v>
      </c>
      <c r="BH44" s="113">
        <v>458</v>
      </c>
      <c r="BI44" s="113">
        <v>87</v>
      </c>
      <c r="BJ44" s="113">
        <v>1024</v>
      </c>
      <c r="BK44" s="113">
        <v>160</v>
      </c>
      <c r="BL44" s="113">
        <v>247</v>
      </c>
      <c r="BM44" s="113">
        <v>32</v>
      </c>
      <c r="BN44" s="113">
        <v>265</v>
      </c>
      <c r="BO44" s="113">
        <v>45</v>
      </c>
      <c r="BP44" s="113">
        <v>108</v>
      </c>
      <c r="BQ44" s="113">
        <v>16</v>
      </c>
      <c r="BR44" s="113">
        <v>358</v>
      </c>
      <c r="BS44" s="113">
        <v>75</v>
      </c>
      <c r="BT44" s="113">
        <v>114</v>
      </c>
      <c r="BU44" s="113">
        <v>21</v>
      </c>
      <c r="BV44" s="179">
        <v>0</v>
      </c>
      <c r="BW44" s="179">
        <v>0</v>
      </c>
      <c r="BX44" s="179">
        <v>0</v>
      </c>
      <c r="BY44" s="179">
        <v>0</v>
      </c>
      <c r="BZ44" s="181">
        <v>0</v>
      </c>
      <c r="CA44" s="181">
        <v>0</v>
      </c>
      <c r="CB44" s="181">
        <v>8</v>
      </c>
      <c r="CC44" s="181">
        <v>5</v>
      </c>
      <c r="CD44" s="181">
        <v>10</v>
      </c>
      <c r="CE44" s="181">
        <v>3</v>
      </c>
      <c r="CF44" s="181">
        <v>9</v>
      </c>
      <c r="CG44" s="181">
        <v>8</v>
      </c>
      <c r="CH44" s="181">
        <v>8</v>
      </c>
      <c r="CI44" s="181">
        <v>4</v>
      </c>
      <c r="CJ44" s="181">
        <v>0</v>
      </c>
      <c r="CK44" s="181">
        <v>0</v>
      </c>
      <c r="CL44" s="181">
        <v>9</v>
      </c>
      <c r="CM44" s="181">
        <v>7</v>
      </c>
      <c r="CN44" s="181">
        <v>0</v>
      </c>
      <c r="CO44" s="181">
        <v>0</v>
      </c>
      <c r="CP44" s="181">
        <v>0</v>
      </c>
      <c r="CQ44" s="181">
        <v>0</v>
      </c>
      <c r="CR44" s="181">
        <v>1</v>
      </c>
      <c r="CS44" s="181">
        <v>1</v>
      </c>
      <c r="CT44" s="181">
        <v>10</v>
      </c>
      <c r="CU44" s="181">
        <v>0</v>
      </c>
      <c r="CV44" s="181">
        <v>11</v>
      </c>
      <c r="CW44" s="181">
        <v>0</v>
      </c>
      <c r="CX44" s="181">
        <v>0</v>
      </c>
      <c r="CY44" s="181">
        <v>0</v>
      </c>
      <c r="CZ44" s="181">
        <v>4</v>
      </c>
      <c r="DA44" s="181">
        <v>4</v>
      </c>
      <c r="DB44" s="181">
        <v>0</v>
      </c>
      <c r="DC44" s="181">
        <v>0</v>
      </c>
      <c r="DD44" s="181">
        <v>0</v>
      </c>
      <c r="DE44" s="181">
        <v>0</v>
      </c>
      <c r="DF44" s="181">
        <v>9</v>
      </c>
      <c r="DG44" s="181">
        <v>3</v>
      </c>
      <c r="DH44" s="181">
        <v>1</v>
      </c>
      <c r="DI44" s="181">
        <v>0</v>
      </c>
      <c r="DJ44" s="181">
        <v>5</v>
      </c>
      <c r="DK44" s="181">
        <v>0</v>
      </c>
      <c r="DL44" s="181">
        <v>8</v>
      </c>
      <c r="DM44" s="181">
        <v>7</v>
      </c>
      <c r="DN44" s="181">
        <v>1</v>
      </c>
      <c r="DO44" s="181">
        <v>1</v>
      </c>
      <c r="DP44" s="181">
        <v>2</v>
      </c>
      <c r="DQ44" s="181">
        <v>0</v>
      </c>
      <c r="DR44" s="181">
        <v>1</v>
      </c>
      <c r="DS44" s="181">
        <v>1</v>
      </c>
      <c r="DT44" s="181">
        <v>2</v>
      </c>
      <c r="DU44" s="181">
        <v>2</v>
      </c>
      <c r="DV44" s="181">
        <v>0</v>
      </c>
      <c r="DW44" s="181">
        <v>0</v>
      </c>
      <c r="DX44" s="181">
        <v>0</v>
      </c>
      <c r="DY44" s="181">
        <v>0</v>
      </c>
      <c r="DZ44" s="190"/>
    </row>
    <row r="45" spans="2:129" ht="13.5">
      <c r="B45" s="230"/>
      <c r="C45" s="251" t="s">
        <v>69</v>
      </c>
      <c r="D45" s="252"/>
      <c r="E45" s="259">
        <f>SUM(E19:E44)</f>
        <v>33</v>
      </c>
      <c r="F45" s="260">
        <f>SUM(F19:F44)</f>
        <v>14</v>
      </c>
      <c r="G45" s="261">
        <f t="shared" si="0"/>
        <v>1</v>
      </c>
      <c r="H45" s="262">
        <f t="shared" si="1"/>
        <v>0.42424242424242425</v>
      </c>
      <c r="I45" s="259">
        <f>SUM(I19:I44)</f>
        <v>210</v>
      </c>
      <c r="J45" s="260">
        <f>SUM(J19:J44)</f>
        <v>99</v>
      </c>
      <c r="K45" s="261">
        <f t="shared" si="2"/>
        <v>1</v>
      </c>
      <c r="L45" s="262">
        <f>IF(I45=0,0,J45/I45)</f>
        <v>0.4714285714285714</v>
      </c>
      <c r="M45" s="238"/>
      <c r="N45" s="188"/>
      <c r="O45" s="171" t="s">
        <v>1326</v>
      </c>
      <c r="P45" s="172" t="s">
        <v>1353</v>
      </c>
      <c r="Q45" s="171" t="s">
        <v>1517</v>
      </c>
      <c r="R45" s="171" t="s">
        <v>1518</v>
      </c>
      <c r="S45" s="173">
        <v>45</v>
      </c>
      <c r="U45" s="179" t="s">
        <v>1326</v>
      </c>
      <c r="V45" s="179" t="s">
        <v>1353</v>
      </c>
      <c r="W45" s="179" t="s">
        <v>334</v>
      </c>
      <c r="X45" s="179">
        <v>41</v>
      </c>
      <c r="Y45" s="179" t="s">
        <v>1519</v>
      </c>
      <c r="Z45" s="113">
        <v>0</v>
      </c>
      <c r="AA45" s="113">
        <v>0</v>
      </c>
      <c r="AB45" s="113">
        <v>2649</v>
      </c>
      <c r="AC45" s="113">
        <v>302</v>
      </c>
      <c r="AD45" s="113">
        <v>1676</v>
      </c>
      <c r="AE45" s="113">
        <v>225</v>
      </c>
      <c r="AF45" s="113">
        <v>0</v>
      </c>
      <c r="AG45" s="113">
        <v>0</v>
      </c>
      <c r="AH45" s="113">
        <v>165</v>
      </c>
      <c r="AI45" s="113">
        <v>12</v>
      </c>
      <c r="AJ45" s="113">
        <v>1020</v>
      </c>
      <c r="AK45" s="113">
        <v>213</v>
      </c>
      <c r="AL45" s="113">
        <v>1718</v>
      </c>
      <c r="AM45" s="113">
        <v>251</v>
      </c>
      <c r="AN45" s="113">
        <v>78</v>
      </c>
      <c r="AO45" s="113">
        <v>20</v>
      </c>
      <c r="AP45" s="113">
        <v>140</v>
      </c>
      <c r="AQ45" s="113">
        <v>12</v>
      </c>
      <c r="AR45" s="113">
        <v>406</v>
      </c>
      <c r="AS45" s="113">
        <v>77</v>
      </c>
      <c r="AT45" s="113">
        <v>331</v>
      </c>
      <c r="AU45" s="113">
        <v>49</v>
      </c>
      <c r="AV45" s="113">
        <v>2692</v>
      </c>
      <c r="AW45" s="113">
        <v>431</v>
      </c>
      <c r="AX45" s="113">
        <v>0</v>
      </c>
      <c r="AY45" s="113">
        <v>0</v>
      </c>
      <c r="AZ45" s="113">
        <v>189</v>
      </c>
      <c r="BA45" s="113">
        <v>34</v>
      </c>
      <c r="BB45" s="113">
        <v>204</v>
      </c>
      <c r="BC45" s="113">
        <v>44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28</v>
      </c>
      <c r="BM45" s="113">
        <v>9</v>
      </c>
      <c r="BN45" s="113">
        <v>127</v>
      </c>
      <c r="BO45" s="113">
        <v>15</v>
      </c>
      <c r="BP45" s="113">
        <v>578</v>
      </c>
      <c r="BQ45" s="113">
        <v>134</v>
      </c>
      <c r="BR45" s="113">
        <v>605</v>
      </c>
      <c r="BS45" s="113">
        <v>85</v>
      </c>
      <c r="BT45" s="113">
        <v>378</v>
      </c>
      <c r="BU45" s="113">
        <v>79</v>
      </c>
      <c r="BV45" s="179">
        <v>751</v>
      </c>
      <c r="BW45" s="179">
        <v>103</v>
      </c>
      <c r="BX45" s="179">
        <v>0</v>
      </c>
      <c r="BY45" s="179">
        <v>0</v>
      </c>
      <c r="BZ45" s="181">
        <v>0</v>
      </c>
      <c r="CA45" s="181">
        <v>0</v>
      </c>
      <c r="CB45" s="181">
        <v>11</v>
      </c>
      <c r="CC45" s="181">
        <v>8</v>
      </c>
      <c r="CD45" s="181">
        <v>5</v>
      </c>
      <c r="CE45" s="181">
        <v>2</v>
      </c>
      <c r="CF45" s="181">
        <v>0</v>
      </c>
      <c r="CG45" s="181">
        <v>0</v>
      </c>
      <c r="CH45" s="181">
        <v>2</v>
      </c>
      <c r="CI45" s="181">
        <v>0</v>
      </c>
      <c r="CJ45" s="181">
        <v>3</v>
      </c>
      <c r="CK45" s="181">
        <v>1</v>
      </c>
      <c r="CL45" s="181">
        <v>2</v>
      </c>
      <c r="CM45" s="181">
        <v>2</v>
      </c>
      <c r="CN45" s="181">
        <v>1</v>
      </c>
      <c r="CO45" s="181">
        <v>1</v>
      </c>
      <c r="CP45" s="181">
        <v>5</v>
      </c>
      <c r="CQ45" s="181">
        <v>4</v>
      </c>
      <c r="CR45" s="181">
        <v>1</v>
      </c>
      <c r="CS45" s="181">
        <v>1</v>
      </c>
      <c r="CT45" s="181">
        <v>3</v>
      </c>
      <c r="CU45" s="181">
        <v>3</v>
      </c>
      <c r="CV45" s="181">
        <v>12</v>
      </c>
      <c r="CW45" s="181">
        <v>8</v>
      </c>
      <c r="CX45" s="181">
        <v>0</v>
      </c>
      <c r="CY45" s="181">
        <v>0</v>
      </c>
      <c r="CZ45" s="181">
        <v>2</v>
      </c>
      <c r="DA45" s="181">
        <v>2</v>
      </c>
      <c r="DB45" s="181">
        <v>5</v>
      </c>
      <c r="DC45" s="181">
        <v>4</v>
      </c>
      <c r="DD45" s="181">
        <v>0</v>
      </c>
      <c r="DE45" s="181">
        <v>0</v>
      </c>
      <c r="DF45" s="181">
        <v>0</v>
      </c>
      <c r="DG45" s="181">
        <v>0</v>
      </c>
      <c r="DH45" s="181">
        <v>0</v>
      </c>
      <c r="DI45" s="181">
        <v>0</v>
      </c>
      <c r="DJ45" s="181">
        <v>0</v>
      </c>
      <c r="DK45" s="181">
        <v>0</v>
      </c>
      <c r="DL45" s="181">
        <v>10</v>
      </c>
      <c r="DM45" s="181">
        <v>1</v>
      </c>
      <c r="DN45" s="181">
        <v>12</v>
      </c>
      <c r="DO45" s="181">
        <v>9</v>
      </c>
      <c r="DP45" s="181">
        <v>0</v>
      </c>
      <c r="DQ45" s="181">
        <v>0</v>
      </c>
      <c r="DR45" s="181">
        <v>1</v>
      </c>
      <c r="DS45" s="181">
        <v>0</v>
      </c>
      <c r="DT45" s="181">
        <v>0</v>
      </c>
      <c r="DU45" s="181">
        <v>0</v>
      </c>
      <c r="DV45" s="181">
        <v>1</v>
      </c>
      <c r="DW45" s="181">
        <v>0</v>
      </c>
      <c r="DX45" s="181">
        <v>0</v>
      </c>
      <c r="DY45" s="181">
        <v>0</v>
      </c>
    </row>
    <row r="46" spans="2:129" ht="14.25" thickBot="1">
      <c r="B46" s="239"/>
      <c r="C46" s="240"/>
      <c r="D46" s="240"/>
      <c r="E46" s="240"/>
      <c r="F46" s="240"/>
      <c r="G46" s="240"/>
      <c r="H46" s="240"/>
      <c r="I46" s="241"/>
      <c r="J46" s="241"/>
      <c r="K46" s="241"/>
      <c r="L46" s="241"/>
      <c r="M46" s="242"/>
      <c r="N46" s="188"/>
      <c r="O46" s="171" t="s">
        <v>1326</v>
      </c>
      <c r="P46" s="172" t="s">
        <v>1353</v>
      </c>
      <c r="Q46" s="171" t="s">
        <v>1520</v>
      </c>
      <c r="R46" s="171" t="s">
        <v>1521</v>
      </c>
      <c r="S46" s="173">
        <v>46</v>
      </c>
      <c r="U46" s="179" t="s">
        <v>1326</v>
      </c>
      <c r="V46" s="179" t="s">
        <v>1353</v>
      </c>
      <c r="W46" s="179" t="s">
        <v>1510</v>
      </c>
      <c r="X46" s="179">
        <v>42</v>
      </c>
      <c r="Y46" s="179" t="s">
        <v>1522</v>
      </c>
      <c r="Z46" s="113">
        <v>0</v>
      </c>
      <c r="AA46" s="113">
        <v>0</v>
      </c>
      <c r="AB46" s="113">
        <v>7534</v>
      </c>
      <c r="AC46" s="113">
        <v>1006</v>
      </c>
      <c r="AD46" s="113">
        <v>848</v>
      </c>
      <c r="AE46" s="113">
        <v>88</v>
      </c>
      <c r="AF46" s="113">
        <v>0</v>
      </c>
      <c r="AG46" s="113">
        <v>0</v>
      </c>
      <c r="AH46" s="113">
        <v>251</v>
      </c>
      <c r="AI46" s="113">
        <v>54</v>
      </c>
      <c r="AJ46" s="113">
        <v>1589</v>
      </c>
      <c r="AK46" s="113">
        <v>320</v>
      </c>
      <c r="AL46" s="113">
        <v>889</v>
      </c>
      <c r="AM46" s="113">
        <v>191</v>
      </c>
      <c r="AN46" s="113">
        <v>412</v>
      </c>
      <c r="AO46" s="113">
        <v>77</v>
      </c>
      <c r="AP46" s="113">
        <v>972</v>
      </c>
      <c r="AQ46" s="113">
        <v>197</v>
      </c>
      <c r="AR46" s="113">
        <v>1475</v>
      </c>
      <c r="AS46" s="113">
        <v>146</v>
      </c>
      <c r="AT46" s="113">
        <v>2036</v>
      </c>
      <c r="AU46" s="113">
        <v>366</v>
      </c>
      <c r="AV46" s="113">
        <v>3592</v>
      </c>
      <c r="AW46" s="113">
        <v>622</v>
      </c>
      <c r="AX46" s="113">
        <v>1334</v>
      </c>
      <c r="AY46" s="113">
        <v>229</v>
      </c>
      <c r="AZ46" s="113">
        <v>483</v>
      </c>
      <c r="BA46" s="113">
        <v>79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4807</v>
      </c>
      <c r="BI46" s="113">
        <v>884</v>
      </c>
      <c r="BJ46" s="113">
        <v>2855</v>
      </c>
      <c r="BK46" s="113">
        <v>377</v>
      </c>
      <c r="BL46" s="113">
        <v>1063</v>
      </c>
      <c r="BM46" s="113">
        <v>196</v>
      </c>
      <c r="BN46" s="113">
        <v>259</v>
      </c>
      <c r="BO46" s="113">
        <v>35</v>
      </c>
      <c r="BP46" s="113">
        <v>1128</v>
      </c>
      <c r="BQ46" s="113">
        <v>186</v>
      </c>
      <c r="BR46" s="113">
        <v>790</v>
      </c>
      <c r="BS46" s="113">
        <v>151</v>
      </c>
      <c r="BT46" s="113">
        <v>81</v>
      </c>
      <c r="BU46" s="113">
        <v>10</v>
      </c>
      <c r="BV46" s="179">
        <v>0</v>
      </c>
      <c r="BW46" s="179">
        <v>0</v>
      </c>
      <c r="BX46" s="179">
        <v>0</v>
      </c>
      <c r="BY46" s="179">
        <v>0</v>
      </c>
      <c r="BZ46" s="181">
        <v>0</v>
      </c>
      <c r="CA46" s="181">
        <v>0</v>
      </c>
      <c r="CB46" s="181">
        <v>2</v>
      </c>
      <c r="CC46" s="181">
        <v>1</v>
      </c>
      <c r="CD46" s="181">
        <v>12</v>
      </c>
      <c r="CE46" s="181">
        <v>2</v>
      </c>
      <c r="CF46" s="181">
        <v>0</v>
      </c>
      <c r="CG46" s="181">
        <v>0</v>
      </c>
      <c r="CH46" s="181">
        <v>5</v>
      </c>
      <c r="CI46" s="181">
        <v>4</v>
      </c>
      <c r="CJ46" s="181">
        <v>11</v>
      </c>
      <c r="CK46" s="181">
        <v>8</v>
      </c>
      <c r="CL46" s="181">
        <v>6</v>
      </c>
      <c r="CM46" s="181">
        <v>5</v>
      </c>
      <c r="CN46" s="181">
        <v>6</v>
      </c>
      <c r="CO46" s="181">
        <v>1</v>
      </c>
      <c r="CP46" s="181">
        <v>0</v>
      </c>
      <c r="CQ46" s="181">
        <v>0</v>
      </c>
      <c r="CR46" s="181">
        <v>11</v>
      </c>
      <c r="CS46" s="181">
        <v>11</v>
      </c>
      <c r="CT46" s="181">
        <v>9</v>
      </c>
      <c r="CU46" s="181">
        <v>6</v>
      </c>
      <c r="CV46" s="181">
        <v>0</v>
      </c>
      <c r="CW46" s="181">
        <v>0</v>
      </c>
      <c r="CX46" s="181">
        <v>10</v>
      </c>
      <c r="CY46" s="181">
        <v>7</v>
      </c>
      <c r="CZ46" s="181">
        <v>11</v>
      </c>
      <c r="DA46" s="181">
        <v>6</v>
      </c>
      <c r="DB46" s="181">
        <v>0</v>
      </c>
      <c r="DC46" s="181">
        <v>0</v>
      </c>
      <c r="DD46" s="181">
        <v>0</v>
      </c>
      <c r="DE46" s="181">
        <v>0</v>
      </c>
      <c r="DF46" s="181">
        <v>0</v>
      </c>
      <c r="DG46" s="181">
        <v>0</v>
      </c>
      <c r="DH46" s="181">
        <v>3</v>
      </c>
      <c r="DI46" s="181">
        <v>1</v>
      </c>
      <c r="DJ46" s="181">
        <v>2</v>
      </c>
      <c r="DK46" s="181">
        <v>2</v>
      </c>
      <c r="DL46" s="181">
        <v>6</v>
      </c>
      <c r="DM46" s="181">
        <v>3</v>
      </c>
      <c r="DN46" s="181">
        <v>1</v>
      </c>
      <c r="DO46" s="181">
        <v>0</v>
      </c>
      <c r="DP46" s="181">
        <v>3</v>
      </c>
      <c r="DQ46" s="181">
        <v>1</v>
      </c>
      <c r="DR46" s="181">
        <v>2</v>
      </c>
      <c r="DS46" s="181">
        <v>2</v>
      </c>
      <c r="DT46" s="181">
        <v>0</v>
      </c>
      <c r="DU46" s="181">
        <v>0</v>
      </c>
      <c r="DV46" s="181">
        <v>0</v>
      </c>
      <c r="DW46" s="181">
        <v>0</v>
      </c>
      <c r="DX46" s="181">
        <v>0</v>
      </c>
      <c r="DY46" s="181">
        <v>0</v>
      </c>
    </row>
    <row r="47" spans="2:129" ht="13.5">
      <c r="B47" s="194"/>
      <c r="C47" s="195"/>
      <c r="D47" s="187"/>
      <c r="E47" s="195"/>
      <c r="F47" s="195"/>
      <c r="G47" s="195"/>
      <c r="H47" s="195"/>
      <c r="I47" s="196"/>
      <c r="J47" s="196"/>
      <c r="K47" s="196"/>
      <c r="L47" s="196"/>
      <c r="M47" s="187"/>
      <c r="N47" s="188"/>
      <c r="O47" s="171" t="s">
        <v>1326</v>
      </c>
      <c r="P47" s="172" t="s">
        <v>1353</v>
      </c>
      <c r="Q47" s="171" t="s">
        <v>1523</v>
      </c>
      <c r="R47" s="171" t="s">
        <v>1524</v>
      </c>
      <c r="S47" s="173">
        <v>47</v>
      </c>
      <c r="U47" s="179" t="s">
        <v>1326</v>
      </c>
      <c r="V47" s="179" t="s">
        <v>1353</v>
      </c>
      <c r="W47" s="179" t="s">
        <v>339</v>
      </c>
      <c r="X47" s="179">
        <v>43</v>
      </c>
      <c r="Y47" s="179" t="s">
        <v>1525</v>
      </c>
      <c r="Z47" s="113">
        <v>0</v>
      </c>
      <c r="AA47" s="113">
        <v>0</v>
      </c>
      <c r="AB47" s="113">
        <v>120</v>
      </c>
      <c r="AC47" s="113">
        <v>30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27</v>
      </c>
      <c r="AK47" s="113">
        <v>12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54</v>
      </c>
      <c r="AW47" s="113">
        <v>8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90</v>
      </c>
      <c r="BI47" s="113">
        <v>27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79">
        <v>240</v>
      </c>
      <c r="BW47" s="179">
        <v>93</v>
      </c>
      <c r="BX47" s="179">
        <v>248</v>
      </c>
      <c r="BY47" s="179">
        <v>110</v>
      </c>
      <c r="BZ47" s="181">
        <v>0</v>
      </c>
      <c r="CA47" s="181">
        <v>0</v>
      </c>
      <c r="CB47" s="181">
        <v>2</v>
      </c>
      <c r="CC47" s="181">
        <v>0</v>
      </c>
      <c r="CD47" s="181">
        <v>0</v>
      </c>
      <c r="CE47" s="181">
        <v>0</v>
      </c>
      <c r="CF47" s="181">
        <v>0</v>
      </c>
      <c r="CG47" s="181">
        <v>0</v>
      </c>
      <c r="CH47" s="181">
        <v>0</v>
      </c>
      <c r="CI47" s="181">
        <v>0</v>
      </c>
      <c r="CJ47" s="181">
        <v>8</v>
      </c>
      <c r="CK47" s="181">
        <v>2</v>
      </c>
      <c r="CL47" s="181">
        <v>0</v>
      </c>
      <c r="CM47" s="181">
        <v>0</v>
      </c>
      <c r="CN47" s="181">
        <v>0</v>
      </c>
      <c r="CO47" s="181">
        <v>0</v>
      </c>
      <c r="CP47" s="181">
        <v>0</v>
      </c>
      <c r="CQ47" s="181">
        <v>0</v>
      </c>
      <c r="CR47" s="181">
        <v>0</v>
      </c>
      <c r="CS47" s="181">
        <v>0</v>
      </c>
      <c r="CT47" s="181">
        <v>0</v>
      </c>
      <c r="CU47" s="181">
        <v>0</v>
      </c>
      <c r="CV47" s="181">
        <v>2</v>
      </c>
      <c r="CW47" s="181">
        <v>1</v>
      </c>
      <c r="CX47" s="181">
        <v>0</v>
      </c>
      <c r="CY47" s="181">
        <v>0</v>
      </c>
      <c r="CZ47" s="181">
        <v>0</v>
      </c>
      <c r="DA47" s="181">
        <v>0</v>
      </c>
      <c r="DB47" s="181">
        <v>0</v>
      </c>
      <c r="DC47" s="181">
        <v>0</v>
      </c>
      <c r="DD47" s="181">
        <v>0</v>
      </c>
      <c r="DE47" s="181">
        <v>0</v>
      </c>
      <c r="DF47" s="181">
        <v>0</v>
      </c>
      <c r="DG47" s="181">
        <v>0</v>
      </c>
      <c r="DH47" s="181">
        <v>11</v>
      </c>
      <c r="DI47" s="181">
        <v>6</v>
      </c>
      <c r="DJ47" s="181">
        <v>0</v>
      </c>
      <c r="DK47" s="181">
        <v>0</v>
      </c>
      <c r="DL47" s="181">
        <v>0</v>
      </c>
      <c r="DM47" s="181">
        <v>0</v>
      </c>
      <c r="DN47" s="181">
        <v>0</v>
      </c>
      <c r="DO47" s="181">
        <v>0</v>
      </c>
      <c r="DP47" s="181">
        <v>0</v>
      </c>
      <c r="DQ47" s="181">
        <v>0</v>
      </c>
      <c r="DR47" s="181">
        <v>0</v>
      </c>
      <c r="DS47" s="181">
        <v>0</v>
      </c>
      <c r="DT47" s="181">
        <v>0</v>
      </c>
      <c r="DU47" s="181">
        <v>0</v>
      </c>
      <c r="DV47" s="181">
        <v>11</v>
      </c>
      <c r="DW47" s="181">
        <v>7</v>
      </c>
      <c r="DX47" s="181">
        <v>11</v>
      </c>
      <c r="DY47" s="181">
        <v>3</v>
      </c>
    </row>
    <row r="48" spans="3:129" ht="13.5">
      <c r="C48" s="187"/>
      <c r="I48" s="169"/>
      <c r="J48" s="169"/>
      <c r="K48" s="169"/>
      <c r="M48" s="187"/>
      <c r="N48" s="188"/>
      <c r="O48" s="171" t="s">
        <v>1326</v>
      </c>
      <c r="P48" s="172" t="s">
        <v>1353</v>
      </c>
      <c r="Q48" s="171" t="s">
        <v>1526</v>
      </c>
      <c r="R48" s="171" t="s">
        <v>1527</v>
      </c>
      <c r="S48" s="173">
        <v>48</v>
      </c>
      <c r="U48" s="179" t="s">
        <v>1326</v>
      </c>
      <c r="V48" s="179" t="s">
        <v>1353</v>
      </c>
      <c r="W48" s="179" t="s">
        <v>1515</v>
      </c>
      <c r="X48" s="179">
        <v>44</v>
      </c>
      <c r="Y48" s="179" t="s">
        <v>1359</v>
      </c>
      <c r="Z48" s="113">
        <v>3958</v>
      </c>
      <c r="AA48" s="113">
        <v>481</v>
      </c>
      <c r="AB48" s="113">
        <v>3875</v>
      </c>
      <c r="AC48" s="113">
        <v>311</v>
      </c>
      <c r="AD48" s="113">
        <v>3740</v>
      </c>
      <c r="AE48" s="113">
        <v>557</v>
      </c>
      <c r="AF48" s="113">
        <v>0</v>
      </c>
      <c r="AG48" s="113">
        <v>0</v>
      </c>
      <c r="AH48" s="113">
        <v>3318</v>
      </c>
      <c r="AI48" s="113">
        <v>463</v>
      </c>
      <c r="AJ48" s="113">
        <v>1871</v>
      </c>
      <c r="AK48" s="113">
        <v>279</v>
      </c>
      <c r="AL48" s="113">
        <v>3134</v>
      </c>
      <c r="AM48" s="113">
        <v>393</v>
      </c>
      <c r="AN48" s="113">
        <v>199</v>
      </c>
      <c r="AO48" s="113">
        <v>17</v>
      </c>
      <c r="AP48" s="113">
        <v>0</v>
      </c>
      <c r="AQ48" s="113">
        <v>0</v>
      </c>
      <c r="AR48" s="113">
        <v>6060</v>
      </c>
      <c r="AS48" s="113">
        <v>802</v>
      </c>
      <c r="AT48" s="113">
        <v>1583</v>
      </c>
      <c r="AU48" s="113">
        <v>359</v>
      </c>
      <c r="AV48" s="113">
        <v>4709</v>
      </c>
      <c r="AW48" s="113">
        <v>385</v>
      </c>
      <c r="AX48" s="113">
        <v>0</v>
      </c>
      <c r="AY48" s="113">
        <v>0</v>
      </c>
      <c r="AZ48" s="113">
        <v>1243</v>
      </c>
      <c r="BA48" s="113">
        <v>206</v>
      </c>
      <c r="BB48" s="113">
        <v>1232</v>
      </c>
      <c r="BC48" s="113">
        <v>195</v>
      </c>
      <c r="BD48" s="113">
        <v>221</v>
      </c>
      <c r="BE48" s="113">
        <v>25</v>
      </c>
      <c r="BF48" s="113">
        <v>2659</v>
      </c>
      <c r="BG48" s="113">
        <v>390</v>
      </c>
      <c r="BH48" s="113">
        <v>952</v>
      </c>
      <c r="BI48" s="113">
        <v>85</v>
      </c>
      <c r="BJ48" s="113">
        <v>0</v>
      </c>
      <c r="BK48" s="113">
        <v>0</v>
      </c>
      <c r="BL48" s="113">
        <v>1398</v>
      </c>
      <c r="BM48" s="113">
        <v>187</v>
      </c>
      <c r="BN48" s="113">
        <v>1227</v>
      </c>
      <c r="BO48" s="113">
        <v>173</v>
      </c>
      <c r="BP48" s="113">
        <v>0</v>
      </c>
      <c r="BQ48" s="113">
        <v>0</v>
      </c>
      <c r="BR48" s="113">
        <v>459</v>
      </c>
      <c r="BS48" s="113">
        <v>64</v>
      </c>
      <c r="BT48" s="113">
        <v>828</v>
      </c>
      <c r="BU48" s="113">
        <v>122</v>
      </c>
      <c r="BV48" s="179">
        <v>0</v>
      </c>
      <c r="BW48" s="179">
        <v>0</v>
      </c>
      <c r="BX48" s="179">
        <v>0</v>
      </c>
      <c r="BY48" s="179">
        <v>0</v>
      </c>
      <c r="BZ48" s="181">
        <v>1</v>
      </c>
      <c r="CA48" s="181">
        <v>1</v>
      </c>
      <c r="CB48" s="181">
        <v>9</v>
      </c>
      <c r="CC48" s="181">
        <v>3</v>
      </c>
      <c r="CD48" s="181">
        <v>3</v>
      </c>
      <c r="CE48" s="181">
        <v>3</v>
      </c>
      <c r="CF48" s="181">
        <v>0</v>
      </c>
      <c r="CG48" s="181">
        <v>0</v>
      </c>
      <c r="CH48" s="181">
        <v>0</v>
      </c>
      <c r="CI48" s="181">
        <v>0</v>
      </c>
      <c r="CJ48" s="181">
        <v>2</v>
      </c>
      <c r="CK48" s="181">
        <v>1</v>
      </c>
      <c r="CL48" s="181">
        <v>6</v>
      </c>
      <c r="CM48" s="181">
        <v>5</v>
      </c>
      <c r="CN48" s="181">
        <v>1</v>
      </c>
      <c r="CO48" s="181">
        <v>0</v>
      </c>
      <c r="CP48" s="181">
        <v>0</v>
      </c>
      <c r="CQ48" s="181">
        <v>0</v>
      </c>
      <c r="CR48" s="181">
        <v>6</v>
      </c>
      <c r="CS48" s="181">
        <v>1</v>
      </c>
      <c r="CT48" s="181">
        <v>8</v>
      </c>
      <c r="CU48" s="181">
        <v>6</v>
      </c>
      <c r="CV48" s="181">
        <v>11</v>
      </c>
      <c r="CW48" s="181">
        <v>3</v>
      </c>
      <c r="CX48" s="181">
        <v>0</v>
      </c>
      <c r="CY48" s="181">
        <v>0</v>
      </c>
      <c r="CZ48" s="181">
        <v>4</v>
      </c>
      <c r="DA48" s="181">
        <v>0</v>
      </c>
      <c r="DB48" s="181">
        <v>2</v>
      </c>
      <c r="DC48" s="181">
        <v>2</v>
      </c>
      <c r="DD48" s="181">
        <v>10</v>
      </c>
      <c r="DE48" s="181">
        <v>5</v>
      </c>
      <c r="DF48" s="181">
        <v>9</v>
      </c>
      <c r="DG48" s="181">
        <v>3</v>
      </c>
      <c r="DH48" s="181">
        <v>0</v>
      </c>
      <c r="DI48" s="181">
        <v>0</v>
      </c>
      <c r="DJ48" s="181">
        <v>0</v>
      </c>
      <c r="DK48" s="181">
        <v>0</v>
      </c>
      <c r="DL48" s="181">
        <v>4</v>
      </c>
      <c r="DM48" s="181">
        <v>3</v>
      </c>
      <c r="DN48" s="181">
        <v>1</v>
      </c>
      <c r="DO48" s="181">
        <v>1</v>
      </c>
      <c r="DP48" s="181">
        <v>0</v>
      </c>
      <c r="DQ48" s="181">
        <v>0</v>
      </c>
      <c r="DR48" s="181">
        <v>10</v>
      </c>
      <c r="DS48" s="181">
        <v>0</v>
      </c>
      <c r="DT48" s="181">
        <v>11</v>
      </c>
      <c r="DU48" s="181">
        <v>11</v>
      </c>
      <c r="DV48" s="181">
        <v>0</v>
      </c>
      <c r="DW48" s="181">
        <v>0</v>
      </c>
      <c r="DX48" s="181">
        <v>0</v>
      </c>
      <c r="DY48" s="181">
        <v>0</v>
      </c>
    </row>
    <row r="49" spans="3:129" ht="13.5">
      <c r="C49" s="187"/>
      <c r="I49" s="169"/>
      <c r="J49" s="169"/>
      <c r="K49" s="169"/>
      <c r="M49" s="187"/>
      <c r="N49" s="188"/>
      <c r="O49" s="171" t="s">
        <v>1326</v>
      </c>
      <c r="P49" s="172" t="s">
        <v>1353</v>
      </c>
      <c r="Q49" s="171" t="s">
        <v>1528</v>
      </c>
      <c r="R49" s="171" t="s">
        <v>1529</v>
      </c>
      <c r="S49" s="173">
        <v>49</v>
      </c>
      <c r="U49" s="179" t="s">
        <v>1326</v>
      </c>
      <c r="V49" s="179" t="s">
        <v>1353</v>
      </c>
      <c r="W49" s="179" t="s">
        <v>1517</v>
      </c>
      <c r="X49" s="179">
        <v>45</v>
      </c>
      <c r="Y49" s="179" t="s">
        <v>1417</v>
      </c>
      <c r="Z49" s="113">
        <v>0</v>
      </c>
      <c r="AA49" s="113">
        <v>0</v>
      </c>
      <c r="AB49" s="113">
        <v>0</v>
      </c>
      <c r="AC49" s="113">
        <v>0</v>
      </c>
      <c r="AD49" s="113">
        <v>528</v>
      </c>
      <c r="AE49" s="113">
        <v>240</v>
      </c>
      <c r="AF49" s="113">
        <v>13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2405</v>
      </c>
      <c r="AW49" s="113">
        <v>848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452</v>
      </c>
      <c r="BK49" s="113">
        <v>165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199</v>
      </c>
      <c r="BS49" s="113">
        <v>65</v>
      </c>
      <c r="BT49" s="113">
        <v>32</v>
      </c>
      <c r="BU49" s="113">
        <v>19</v>
      </c>
      <c r="BV49" s="179">
        <v>0</v>
      </c>
      <c r="BW49" s="179">
        <v>0</v>
      </c>
      <c r="BX49" s="179">
        <v>0</v>
      </c>
      <c r="BY49" s="179">
        <v>0</v>
      </c>
      <c r="BZ49" s="181">
        <v>0</v>
      </c>
      <c r="CA49" s="181">
        <v>0</v>
      </c>
      <c r="CB49" s="181">
        <v>0</v>
      </c>
      <c r="CC49" s="181">
        <v>0</v>
      </c>
      <c r="CD49" s="181">
        <v>12</v>
      </c>
      <c r="CE49" s="181">
        <v>11</v>
      </c>
      <c r="CF49" s="181">
        <v>8</v>
      </c>
      <c r="CG49" s="181">
        <v>0</v>
      </c>
      <c r="CH49" s="181">
        <v>0</v>
      </c>
      <c r="CI49" s="181">
        <v>0</v>
      </c>
      <c r="CJ49" s="181">
        <v>0</v>
      </c>
      <c r="CK49" s="181">
        <v>0</v>
      </c>
      <c r="CL49" s="181">
        <v>0</v>
      </c>
      <c r="CM49" s="181">
        <v>0</v>
      </c>
      <c r="CN49" s="181">
        <v>0</v>
      </c>
      <c r="CO49" s="181">
        <v>0</v>
      </c>
      <c r="CP49" s="181">
        <v>0</v>
      </c>
      <c r="CQ49" s="181">
        <v>0</v>
      </c>
      <c r="CR49" s="181">
        <v>0</v>
      </c>
      <c r="CS49" s="181">
        <v>0</v>
      </c>
      <c r="CT49" s="181">
        <v>0</v>
      </c>
      <c r="CU49" s="181">
        <v>0</v>
      </c>
      <c r="CV49" s="181">
        <v>7</v>
      </c>
      <c r="CW49" s="181">
        <v>3</v>
      </c>
      <c r="CX49" s="181">
        <v>0</v>
      </c>
      <c r="CY49" s="181">
        <v>0</v>
      </c>
      <c r="CZ49" s="181">
        <v>0</v>
      </c>
      <c r="DA49" s="181">
        <v>0</v>
      </c>
      <c r="DB49" s="181">
        <v>0</v>
      </c>
      <c r="DC49" s="181">
        <v>0</v>
      </c>
      <c r="DD49" s="181">
        <v>0</v>
      </c>
      <c r="DE49" s="181">
        <v>0</v>
      </c>
      <c r="DF49" s="181">
        <v>0</v>
      </c>
      <c r="DG49" s="181">
        <v>0</v>
      </c>
      <c r="DH49" s="181">
        <v>0</v>
      </c>
      <c r="DI49" s="181">
        <v>0</v>
      </c>
      <c r="DJ49" s="181">
        <v>4</v>
      </c>
      <c r="DK49" s="181">
        <v>2</v>
      </c>
      <c r="DL49" s="181">
        <v>0</v>
      </c>
      <c r="DM49" s="181">
        <v>0</v>
      </c>
      <c r="DN49" s="181">
        <v>0</v>
      </c>
      <c r="DO49" s="181">
        <v>0</v>
      </c>
      <c r="DP49" s="181">
        <v>0</v>
      </c>
      <c r="DQ49" s="181">
        <v>0</v>
      </c>
      <c r="DR49" s="181">
        <v>8</v>
      </c>
      <c r="DS49" s="181">
        <v>5</v>
      </c>
      <c r="DT49" s="181">
        <v>1</v>
      </c>
      <c r="DU49" s="181">
        <v>0</v>
      </c>
      <c r="DV49" s="181">
        <v>0</v>
      </c>
      <c r="DW49" s="181">
        <v>0</v>
      </c>
      <c r="DX49" s="181">
        <v>0</v>
      </c>
      <c r="DY49" s="181">
        <v>0</v>
      </c>
    </row>
    <row r="50" spans="3:129" ht="13.5">
      <c r="C50" s="187"/>
      <c r="I50" s="169"/>
      <c r="J50" s="169"/>
      <c r="K50" s="169"/>
      <c r="M50" s="187"/>
      <c r="N50" s="188"/>
      <c r="O50" s="171" t="s">
        <v>1326</v>
      </c>
      <c r="P50" s="172" t="s">
        <v>1353</v>
      </c>
      <c r="Q50" s="171" t="s">
        <v>329</v>
      </c>
      <c r="R50" s="171" t="s">
        <v>330</v>
      </c>
      <c r="S50" s="173">
        <v>50</v>
      </c>
      <c r="U50" s="179" t="s">
        <v>1326</v>
      </c>
      <c r="V50" s="179" t="s">
        <v>1353</v>
      </c>
      <c r="W50" s="179" t="s">
        <v>1520</v>
      </c>
      <c r="X50" s="179">
        <v>46</v>
      </c>
      <c r="Y50" s="179" t="s">
        <v>1530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435</v>
      </c>
      <c r="AG50" s="113">
        <v>81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1</v>
      </c>
      <c r="AQ50" s="113">
        <v>2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  <c r="BM50" s="113">
        <v>0</v>
      </c>
      <c r="BN50" s="113">
        <v>7</v>
      </c>
      <c r="BO50" s="113">
        <v>8</v>
      </c>
      <c r="BP50" s="113">
        <v>0</v>
      </c>
      <c r="BQ50" s="113">
        <v>0</v>
      </c>
      <c r="BR50" s="113">
        <v>18</v>
      </c>
      <c r="BS50" s="113">
        <v>5</v>
      </c>
      <c r="BT50" s="113">
        <v>0</v>
      </c>
      <c r="BU50" s="113">
        <v>0</v>
      </c>
      <c r="BV50" s="179">
        <v>214</v>
      </c>
      <c r="BW50" s="179">
        <v>29</v>
      </c>
      <c r="BX50" s="179">
        <v>0</v>
      </c>
      <c r="BY50" s="179">
        <v>0</v>
      </c>
      <c r="BZ50" s="181">
        <v>0</v>
      </c>
      <c r="CA50" s="181">
        <v>0</v>
      </c>
      <c r="CB50" s="181">
        <v>0</v>
      </c>
      <c r="CC50" s="181">
        <v>0</v>
      </c>
      <c r="CD50" s="181">
        <v>0</v>
      </c>
      <c r="CE50" s="181">
        <v>0</v>
      </c>
      <c r="CF50" s="181">
        <v>12</v>
      </c>
      <c r="CG50" s="181">
        <v>1</v>
      </c>
      <c r="CH50" s="181">
        <v>0</v>
      </c>
      <c r="CI50" s="181">
        <v>0</v>
      </c>
      <c r="CJ50" s="181">
        <v>0</v>
      </c>
      <c r="CK50" s="181">
        <v>0</v>
      </c>
      <c r="CL50" s="181">
        <v>0</v>
      </c>
      <c r="CM50" s="181">
        <v>0</v>
      </c>
      <c r="CN50" s="181">
        <v>0</v>
      </c>
      <c r="CO50" s="181">
        <v>0</v>
      </c>
      <c r="CP50" s="181">
        <v>9</v>
      </c>
      <c r="CQ50" s="181">
        <v>8</v>
      </c>
      <c r="CR50" s="181">
        <v>0</v>
      </c>
      <c r="CS50" s="181">
        <v>0</v>
      </c>
      <c r="CT50" s="181">
        <v>0</v>
      </c>
      <c r="CU50" s="181">
        <v>0</v>
      </c>
      <c r="CV50" s="181">
        <v>0</v>
      </c>
      <c r="CW50" s="181">
        <v>0</v>
      </c>
      <c r="CX50" s="181">
        <v>0</v>
      </c>
      <c r="CY50" s="181">
        <v>0</v>
      </c>
      <c r="CZ50" s="181">
        <v>0</v>
      </c>
      <c r="DA50" s="181">
        <v>0</v>
      </c>
      <c r="DB50" s="181">
        <v>0</v>
      </c>
      <c r="DC50" s="181">
        <v>0</v>
      </c>
      <c r="DD50" s="181">
        <v>0</v>
      </c>
      <c r="DE50" s="181">
        <v>0</v>
      </c>
      <c r="DF50" s="181">
        <v>0</v>
      </c>
      <c r="DG50" s="181">
        <v>0</v>
      </c>
      <c r="DH50" s="181">
        <v>0</v>
      </c>
      <c r="DI50" s="181">
        <v>0</v>
      </c>
      <c r="DJ50" s="181">
        <v>0</v>
      </c>
      <c r="DK50" s="181">
        <v>0</v>
      </c>
      <c r="DL50" s="181">
        <v>0</v>
      </c>
      <c r="DM50" s="181">
        <v>0</v>
      </c>
      <c r="DN50" s="181">
        <v>12</v>
      </c>
      <c r="DO50" s="181">
        <v>6</v>
      </c>
      <c r="DP50" s="181">
        <v>0</v>
      </c>
      <c r="DQ50" s="181">
        <v>0</v>
      </c>
      <c r="DR50" s="181">
        <v>10</v>
      </c>
      <c r="DS50" s="181">
        <v>3</v>
      </c>
      <c r="DT50" s="181">
        <v>0</v>
      </c>
      <c r="DU50" s="181">
        <v>0</v>
      </c>
      <c r="DV50" s="181">
        <v>4</v>
      </c>
      <c r="DW50" s="181">
        <v>1</v>
      </c>
      <c r="DX50" s="181">
        <v>0</v>
      </c>
      <c r="DY50" s="181">
        <v>0</v>
      </c>
    </row>
    <row r="51" spans="2:129" ht="13.5">
      <c r="B51" s="174"/>
      <c r="C51" s="191"/>
      <c r="D51" s="174"/>
      <c r="E51" s="174"/>
      <c r="F51" s="174"/>
      <c r="G51" s="174"/>
      <c r="H51" s="174"/>
      <c r="I51" s="197"/>
      <c r="J51" s="169"/>
      <c r="K51" s="169"/>
      <c r="M51" s="187"/>
      <c r="N51" s="188"/>
      <c r="O51" s="171" t="s">
        <v>37</v>
      </c>
      <c r="P51" s="172" t="s">
        <v>1534</v>
      </c>
      <c r="Q51" s="171" t="s">
        <v>1476</v>
      </c>
      <c r="R51" s="171" t="s">
        <v>1477</v>
      </c>
      <c r="S51" s="173">
        <v>1</v>
      </c>
      <c r="U51" s="179" t="s">
        <v>1326</v>
      </c>
      <c r="V51" s="179" t="s">
        <v>1353</v>
      </c>
      <c r="W51" s="179" t="s">
        <v>1523</v>
      </c>
      <c r="X51" s="179">
        <v>47</v>
      </c>
      <c r="Y51" s="179" t="s">
        <v>1531</v>
      </c>
      <c r="Z51" s="113">
        <v>0</v>
      </c>
      <c r="AA51" s="113">
        <v>0</v>
      </c>
      <c r="AB51" s="113">
        <v>0</v>
      </c>
      <c r="AC51" s="113">
        <v>0</v>
      </c>
      <c r="AD51" s="113">
        <v>51</v>
      </c>
      <c r="AE51" s="113">
        <v>27</v>
      </c>
      <c r="AF51" s="113">
        <v>401</v>
      </c>
      <c r="AG51" s="113">
        <v>125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1</v>
      </c>
      <c r="AQ51" s="113">
        <v>0</v>
      </c>
      <c r="AR51" s="113">
        <v>9</v>
      </c>
      <c r="AS51" s="113">
        <v>1</v>
      </c>
      <c r="AT51" s="113">
        <v>0</v>
      </c>
      <c r="AU51" s="113">
        <v>0</v>
      </c>
      <c r="AV51" s="113">
        <v>56</v>
      </c>
      <c r="AW51" s="113">
        <v>1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F51" s="113">
        <v>0</v>
      </c>
      <c r="BG51" s="113">
        <v>0</v>
      </c>
      <c r="BH51" s="113">
        <v>11</v>
      </c>
      <c r="BI51" s="113">
        <v>2</v>
      </c>
      <c r="BJ51" s="113">
        <v>0</v>
      </c>
      <c r="BK51" s="113">
        <v>0</v>
      </c>
      <c r="BL51" s="113">
        <v>0</v>
      </c>
      <c r="BM51" s="113">
        <v>0</v>
      </c>
      <c r="BN51" s="113">
        <v>157</v>
      </c>
      <c r="BO51" s="113">
        <v>56</v>
      </c>
      <c r="BP51" s="113">
        <v>0</v>
      </c>
      <c r="BQ51" s="113">
        <v>0</v>
      </c>
      <c r="BR51" s="113">
        <v>144</v>
      </c>
      <c r="BS51" s="113">
        <v>77</v>
      </c>
      <c r="BT51" s="113">
        <v>0</v>
      </c>
      <c r="BU51" s="113">
        <v>0</v>
      </c>
      <c r="BV51" s="179">
        <v>0</v>
      </c>
      <c r="BW51" s="179">
        <v>0</v>
      </c>
      <c r="BX51" s="179">
        <v>0</v>
      </c>
      <c r="BY51" s="179">
        <v>0</v>
      </c>
      <c r="BZ51" s="181">
        <v>0</v>
      </c>
      <c r="CA51" s="181">
        <v>0</v>
      </c>
      <c r="CB51" s="181">
        <v>0</v>
      </c>
      <c r="CC51" s="181">
        <v>0</v>
      </c>
      <c r="CD51" s="181">
        <v>2</v>
      </c>
      <c r="CE51" s="181">
        <v>0</v>
      </c>
      <c r="CF51" s="181">
        <v>6</v>
      </c>
      <c r="CG51" s="181">
        <v>5</v>
      </c>
      <c r="CH51" s="181">
        <v>0</v>
      </c>
      <c r="CI51" s="181">
        <v>0</v>
      </c>
      <c r="CJ51" s="181">
        <v>0</v>
      </c>
      <c r="CK51" s="181">
        <v>0</v>
      </c>
      <c r="CL51" s="181">
        <v>0</v>
      </c>
      <c r="CM51" s="181">
        <v>0</v>
      </c>
      <c r="CN51" s="181">
        <v>0</v>
      </c>
      <c r="CO51" s="181">
        <v>0</v>
      </c>
      <c r="CP51" s="181">
        <v>12</v>
      </c>
      <c r="CQ51" s="181">
        <v>0</v>
      </c>
      <c r="CR51" s="181">
        <v>12</v>
      </c>
      <c r="CS51" s="181">
        <v>11</v>
      </c>
      <c r="CT51" s="181">
        <v>0</v>
      </c>
      <c r="CU51" s="181">
        <v>0</v>
      </c>
      <c r="CV51" s="181">
        <v>11</v>
      </c>
      <c r="CW51" s="181">
        <v>10</v>
      </c>
      <c r="CX51" s="181">
        <v>0</v>
      </c>
      <c r="CY51" s="181">
        <v>0</v>
      </c>
      <c r="CZ51" s="181">
        <v>0</v>
      </c>
      <c r="DA51" s="181">
        <v>0</v>
      </c>
      <c r="DB51" s="181">
        <v>0</v>
      </c>
      <c r="DC51" s="181">
        <v>0</v>
      </c>
      <c r="DD51" s="181">
        <v>0</v>
      </c>
      <c r="DE51" s="181">
        <v>0</v>
      </c>
      <c r="DF51" s="181">
        <v>0</v>
      </c>
      <c r="DG51" s="181">
        <v>0</v>
      </c>
      <c r="DH51" s="181">
        <v>0</v>
      </c>
      <c r="DI51" s="181">
        <v>0</v>
      </c>
      <c r="DJ51" s="181">
        <v>0</v>
      </c>
      <c r="DK51" s="181">
        <v>0</v>
      </c>
      <c r="DL51" s="181">
        <v>0</v>
      </c>
      <c r="DM51" s="181">
        <v>0</v>
      </c>
      <c r="DN51" s="181">
        <v>0</v>
      </c>
      <c r="DO51" s="181">
        <v>0</v>
      </c>
      <c r="DP51" s="181">
        <v>0</v>
      </c>
      <c r="DQ51" s="181">
        <v>0</v>
      </c>
      <c r="DR51" s="181">
        <v>5</v>
      </c>
      <c r="DS51" s="181">
        <v>1</v>
      </c>
      <c r="DT51" s="181">
        <v>0</v>
      </c>
      <c r="DU51" s="181">
        <v>0</v>
      </c>
      <c r="DV51" s="181">
        <v>0</v>
      </c>
      <c r="DW51" s="181">
        <v>0</v>
      </c>
      <c r="DX51" s="181">
        <v>0</v>
      </c>
      <c r="DY51" s="181">
        <v>0</v>
      </c>
    </row>
    <row r="52" spans="2:129" ht="13.5">
      <c r="B52" s="174"/>
      <c r="C52" s="191"/>
      <c r="D52" s="174"/>
      <c r="E52" s="174"/>
      <c r="F52" s="174"/>
      <c r="G52" s="174"/>
      <c r="H52" s="174"/>
      <c r="I52" s="197"/>
      <c r="J52" s="169"/>
      <c r="K52" s="169"/>
      <c r="M52" s="187"/>
      <c r="N52" s="188"/>
      <c r="O52" s="171" t="s">
        <v>37</v>
      </c>
      <c r="P52" s="172" t="s">
        <v>1534</v>
      </c>
      <c r="Q52" s="171" t="s">
        <v>1528</v>
      </c>
      <c r="R52" s="171" t="s">
        <v>1529</v>
      </c>
      <c r="S52" s="173">
        <v>2</v>
      </c>
      <c r="U52" s="179" t="s">
        <v>1326</v>
      </c>
      <c r="V52" s="179" t="s">
        <v>1353</v>
      </c>
      <c r="W52" s="179" t="s">
        <v>1526</v>
      </c>
      <c r="X52" s="179">
        <v>48</v>
      </c>
      <c r="Y52" s="179" t="s">
        <v>1532</v>
      </c>
      <c r="Z52" s="113">
        <v>0</v>
      </c>
      <c r="AA52" s="113">
        <v>0</v>
      </c>
      <c r="AB52" s="113">
        <v>5312</v>
      </c>
      <c r="AC52" s="113">
        <v>847</v>
      </c>
      <c r="AD52" s="113">
        <v>1023</v>
      </c>
      <c r="AE52" s="113">
        <v>264</v>
      </c>
      <c r="AF52" s="113">
        <v>0</v>
      </c>
      <c r="AG52" s="113">
        <v>0</v>
      </c>
      <c r="AH52" s="113">
        <v>384</v>
      </c>
      <c r="AI52" s="113">
        <v>147</v>
      </c>
      <c r="AJ52" s="113">
        <v>1202</v>
      </c>
      <c r="AK52" s="113">
        <v>212</v>
      </c>
      <c r="AL52" s="113">
        <v>1356</v>
      </c>
      <c r="AM52" s="113">
        <v>372</v>
      </c>
      <c r="AN52" s="113">
        <v>0</v>
      </c>
      <c r="AO52" s="113">
        <v>0</v>
      </c>
      <c r="AP52" s="113">
        <v>0</v>
      </c>
      <c r="AQ52" s="113">
        <v>0</v>
      </c>
      <c r="AR52" s="113">
        <v>1870</v>
      </c>
      <c r="AS52" s="113">
        <v>469</v>
      </c>
      <c r="AT52" s="113">
        <v>715</v>
      </c>
      <c r="AU52" s="113">
        <v>147</v>
      </c>
      <c r="AV52" s="113">
        <v>1972</v>
      </c>
      <c r="AW52" s="113">
        <v>312</v>
      </c>
      <c r="AX52" s="113">
        <v>305</v>
      </c>
      <c r="AY52" s="113">
        <v>56</v>
      </c>
      <c r="AZ52" s="113">
        <v>138</v>
      </c>
      <c r="BA52" s="113">
        <v>37</v>
      </c>
      <c r="BB52" s="113">
        <v>0</v>
      </c>
      <c r="BC52" s="113">
        <v>0</v>
      </c>
      <c r="BD52" s="113">
        <v>0</v>
      </c>
      <c r="BE52" s="113">
        <v>0</v>
      </c>
      <c r="BF52" s="113">
        <v>77</v>
      </c>
      <c r="BG52" s="113">
        <v>38</v>
      </c>
      <c r="BH52" s="113">
        <v>100</v>
      </c>
      <c r="BI52" s="113">
        <v>13</v>
      </c>
      <c r="BJ52" s="113">
        <v>0</v>
      </c>
      <c r="BK52" s="113">
        <v>0</v>
      </c>
      <c r="BL52" s="113">
        <v>139</v>
      </c>
      <c r="BM52" s="113">
        <v>35</v>
      </c>
      <c r="BN52" s="113">
        <v>81</v>
      </c>
      <c r="BO52" s="113">
        <v>26</v>
      </c>
      <c r="BP52" s="113">
        <v>159</v>
      </c>
      <c r="BQ52" s="113">
        <v>28</v>
      </c>
      <c r="BR52" s="113">
        <v>883</v>
      </c>
      <c r="BS52" s="113">
        <v>179</v>
      </c>
      <c r="BT52" s="113">
        <v>68</v>
      </c>
      <c r="BU52" s="113">
        <v>31</v>
      </c>
      <c r="BV52" s="179">
        <v>16</v>
      </c>
      <c r="BW52" s="179">
        <v>2</v>
      </c>
      <c r="BX52" s="179">
        <v>12</v>
      </c>
      <c r="BY52" s="179">
        <v>3</v>
      </c>
      <c r="BZ52" s="181">
        <v>0</v>
      </c>
      <c r="CA52" s="181">
        <v>0</v>
      </c>
      <c r="CB52" s="181">
        <v>0</v>
      </c>
      <c r="CC52" s="181">
        <v>0</v>
      </c>
      <c r="CD52" s="181">
        <v>6</v>
      </c>
      <c r="CE52" s="181">
        <v>3</v>
      </c>
      <c r="CF52" s="181">
        <v>0</v>
      </c>
      <c r="CG52" s="181">
        <v>0</v>
      </c>
      <c r="CH52" s="181">
        <v>7</v>
      </c>
      <c r="CI52" s="181">
        <v>7</v>
      </c>
      <c r="CJ52" s="181">
        <v>2</v>
      </c>
      <c r="CK52" s="181">
        <v>1</v>
      </c>
      <c r="CL52" s="181">
        <v>12</v>
      </c>
      <c r="CM52" s="181">
        <v>7</v>
      </c>
      <c r="CN52" s="181">
        <v>0</v>
      </c>
      <c r="CO52" s="181">
        <v>0</v>
      </c>
      <c r="CP52" s="181">
        <v>0</v>
      </c>
      <c r="CQ52" s="181">
        <v>0</v>
      </c>
      <c r="CR52" s="181">
        <v>3</v>
      </c>
      <c r="CS52" s="181">
        <v>0</v>
      </c>
      <c r="CT52" s="181">
        <v>3</v>
      </c>
      <c r="CU52" s="181">
        <v>3</v>
      </c>
      <c r="CV52" s="181">
        <v>11</v>
      </c>
      <c r="CW52" s="181">
        <v>0</v>
      </c>
      <c r="CX52" s="181">
        <v>4</v>
      </c>
      <c r="CY52" s="181">
        <v>0</v>
      </c>
      <c r="CZ52" s="181">
        <v>7</v>
      </c>
      <c r="DA52" s="181">
        <v>3</v>
      </c>
      <c r="DB52" s="181">
        <v>0</v>
      </c>
      <c r="DC52" s="181">
        <v>0</v>
      </c>
      <c r="DD52" s="181">
        <v>0</v>
      </c>
      <c r="DE52" s="181">
        <v>0</v>
      </c>
      <c r="DF52" s="181">
        <v>7</v>
      </c>
      <c r="DG52" s="181">
        <v>6</v>
      </c>
      <c r="DH52" s="181">
        <v>9</v>
      </c>
      <c r="DI52" s="181">
        <v>3</v>
      </c>
      <c r="DJ52" s="181">
        <v>0</v>
      </c>
      <c r="DK52" s="181">
        <v>0</v>
      </c>
      <c r="DL52" s="181">
        <v>10</v>
      </c>
      <c r="DM52" s="181">
        <v>0</v>
      </c>
      <c r="DN52" s="181">
        <v>0</v>
      </c>
      <c r="DO52" s="181">
        <v>0</v>
      </c>
      <c r="DP52" s="181">
        <v>3</v>
      </c>
      <c r="DQ52" s="181">
        <v>1</v>
      </c>
      <c r="DR52" s="181">
        <v>11</v>
      </c>
      <c r="DS52" s="181">
        <v>10</v>
      </c>
      <c r="DT52" s="181">
        <v>2</v>
      </c>
      <c r="DU52" s="181">
        <v>2</v>
      </c>
      <c r="DV52" s="181">
        <v>9</v>
      </c>
      <c r="DW52" s="181">
        <v>2</v>
      </c>
      <c r="DX52" s="181">
        <v>0</v>
      </c>
      <c r="DY52" s="181">
        <v>0</v>
      </c>
    </row>
    <row r="53" spans="1:130" s="191" customFormat="1" ht="13.5">
      <c r="A53" s="187"/>
      <c r="B53" s="174"/>
      <c r="D53" s="174"/>
      <c r="E53" s="174"/>
      <c r="F53" s="174"/>
      <c r="G53" s="174"/>
      <c r="H53" s="174"/>
      <c r="I53" s="197"/>
      <c r="J53" s="169"/>
      <c r="K53" s="169"/>
      <c r="L53" s="169"/>
      <c r="M53" s="187"/>
      <c r="N53" s="188"/>
      <c r="O53" s="168" t="s">
        <v>39</v>
      </c>
      <c r="P53" s="168" t="s">
        <v>1535</v>
      </c>
      <c r="Q53" s="168" t="s">
        <v>321</v>
      </c>
      <c r="R53" s="168" t="s">
        <v>322</v>
      </c>
      <c r="S53" s="168">
        <v>1</v>
      </c>
      <c r="T53" s="189"/>
      <c r="U53" s="179" t="s">
        <v>1326</v>
      </c>
      <c r="V53" s="179" t="s">
        <v>1353</v>
      </c>
      <c r="W53" s="179" t="s">
        <v>1528</v>
      </c>
      <c r="X53" s="179">
        <v>49</v>
      </c>
      <c r="Y53" s="179" t="s">
        <v>1533</v>
      </c>
      <c r="Z53" s="113">
        <v>0</v>
      </c>
      <c r="AA53" s="113">
        <v>0</v>
      </c>
      <c r="AB53" s="113">
        <v>160</v>
      </c>
      <c r="AC53" s="113">
        <v>52</v>
      </c>
      <c r="AD53" s="113">
        <v>2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131</v>
      </c>
      <c r="AK53" s="113">
        <v>85</v>
      </c>
      <c r="AL53" s="113">
        <v>28</v>
      </c>
      <c r="AM53" s="113">
        <v>8</v>
      </c>
      <c r="AN53" s="113">
        <v>0</v>
      </c>
      <c r="AO53" s="113">
        <v>0</v>
      </c>
      <c r="AP53" s="113">
        <v>29</v>
      </c>
      <c r="AQ53" s="113">
        <v>4</v>
      </c>
      <c r="AR53" s="113">
        <v>469</v>
      </c>
      <c r="AS53" s="113">
        <v>103</v>
      </c>
      <c r="AT53" s="113">
        <v>144</v>
      </c>
      <c r="AU53" s="113">
        <v>75</v>
      </c>
      <c r="AV53" s="113">
        <v>278</v>
      </c>
      <c r="AW53" s="113">
        <v>120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680</v>
      </c>
      <c r="BI53" s="113">
        <v>225</v>
      </c>
      <c r="BJ53" s="113">
        <v>713</v>
      </c>
      <c r="BK53" s="113">
        <v>155</v>
      </c>
      <c r="BL53" s="113">
        <v>0</v>
      </c>
      <c r="BM53" s="113">
        <v>0</v>
      </c>
      <c r="BN53" s="113">
        <v>0</v>
      </c>
      <c r="BO53" s="113">
        <v>0</v>
      </c>
      <c r="BP53" s="113">
        <v>29</v>
      </c>
      <c r="BQ53" s="113">
        <v>3</v>
      </c>
      <c r="BR53" s="113">
        <v>113</v>
      </c>
      <c r="BS53" s="113">
        <v>50</v>
      </c>
      <c r="BT53" s="113">
        <v>34</v>
      </c>
      <c r="BU53" s="113">
        <v>24</v>
      </c>
      <c r="BV53" s="179">
        <v>0</v>
      </c>
      <c r="BW53" s="179">
        <v>0</v>
      </c>
      <c r="BX53" s="179">
        <v>17</v>
      </c>
      <c r="BY53" s="179">
        <v>5</v>
      </c>
      <c r="BZ53" s="181">
        <v>0</v>
      </c>
      <c r="CA53" s="181">
        <v>0</v>
      </c>
      <c r="CB53" s="181">
        <v>0</v>
      </c>
      <c r="CC53" s="181">
        <v>0</v>
      </c>
      <c r="CD53" s="181">
        <v>10</v>
      </c>
      <c r="CE53" s="181">
        <v>0</v>
      </c>
      <c r="CF53" s="181">
        <v>0</v>
      </c>
      <c r="CG53" s="181">
        <v>0</v>
      </c>
      <c r="CH53" s="181">
        <v>0</v>
      </c>
      <c r="CI53" s="181">
        <v>0</v>
      </c>
      <c r="CJ53" s="181">
        <v>5</v>
      </c>
      <c r="CK53" s="181">
        <v>4</v>
      </c>
      <c r="CL53" s="181">
        <v>1</v>
      </c>
      <c r="CM53" s="181">
        <v>0</v>
      </c>
      <c r="CN53" s="181">
        <v>0</v>
      </c>
      <c r="CO53" s="181">
        <v>0</v>
      </c>
      <c r="CP53" s="181">
        <v>10</v>
      </c>
      <c r="CQ53" s="181">
        <v>7</v>
      </c>
      <c r="CR53" s="181">
        <v>0</v>
      </c>
      <c r="CS53" s="181">
        <v>0</v>
      </c>
      <c r="CT53" s="181">
        <v>7</v>
      </c>
      <c r="CU53" s="181">
        <v>2</v>
      </c>
      <c r="CV53" s="181">
        <v>12</v>
      </c>
      <c r="CW53" s="181">
        <v>7</v>
      </c>
      <c r="CX53" s="181">
        <v>0</v>
      </c>
      <c r="CY53" s="181">
        <v>0</v>
      </c>
      <c r="CZ53" s="181">
        <v>0</v>
      </c>
      <c r="DA53" s="181">
        <v>0</v>
      </c>
      <c r="DB53" s="181">
        <v>0</v>
      </c>
      <c r="DC53" s="181">
        <v>0</v>
      </c>
      <c r="DD53" s="181">
        <v>0</v>
      </c>
      <c r="DE53" s="181">
        <v>0</v>
      </c>
      <c r="DF53" s="181">
        <v>0</v>
      </c>
      <c r="DG53" s="181">
        <v>0</v>
      </c>
      <c r="DH53" s="181">
        <v>4</v>
      </c>
      <c r="DI53" s="181">
        <v>3</v>
      </c>
      <c r="DJ53" s="181">
        <v>8</v>
      </c>
      <c r="DK53" s="181">
        <v>5</v>
      </c>
      <c r="DL53" s="181">
        <v>0</v>
      </c>
      <c r="DM53" s="181">
        <v>0</v>
      </c>
      <c r="DN53" s="181">
        <v>0</v>
      </c>
      <c r="DO53" s="181">
        <v>0</v>
      </c>
      <c r="DP53" s="181">
        <v>3</v>
      </c>
      <c r="DQ53" s="181">
        <v>0</v>
      </c>
      <c r="DR53" s="181">
        <v>4</v>
      </c>
      <c r="DS53" s="181">
        <v>3</v>
      </c>
      <c r="DT53" s="181">
        <v>0</v>
      </c>
      <c r="DU53" s="181">
        <v>0</v>
      </c>
      <c r="DV53" s="181">
        <v>0</v>
      </c>
      <c r="DW53" s="181">
        <v>0</v>
      </c>
      <c r="DX53" s="181">
        <v>3</v>
      </c>
      <c r="DY53" s="181">
        <v>3</v>
      </c>
      <c r="DZ53" s="190"/>
    </row>
    <row r="54" spans="2:129" ht="13.5">
      <c r="B54" s="174"/>
      <c r="C54" s="191"/>
      <c r="D54" s="174"/>
      <c r="E54" s="174"/>
      <c r="F54" s="174"/>
      <c r="G54" s="174"/>
      <c r="H54" s="174"/>
      <c r="I54" s="197"/>
      <c r="J54" s="169"/>
      <c r="K54" s="169"/>
      <c r="M54" s="187"/>
      <c r="N54" s="188"/>
      <c r="O54" s="172" t="s">
        <v>39</v>
      </c>
      <c r="P54" s="172" t="s">
        <v>1535</v>
      </c>
      <c r="Q54" s="172" t="s">
        <v>1442</v>
      </c>
      <c r="R54" s="172" t="s">
        <v>1443</v>
      </c>
      <c r="S54" s="172">
        <v>2</v>
      </c>
      <c r="U54" s="179" t="s">
        <v>1326</v>
      </c>
      <c r="V54" s="179" t="s">
        <v>1353</v>
      </c>
      <c r="W54" s="179" t="s">
        <v>329</v>
      </c>
      <c r="X54" s="179">
        <v>50</v>
      </c>
      <c r="Y54" s="179" t="s">
        <v>1420</v>
      </c>
      <c r="Z54" s="113">
        <v>0</v>
      </c>
      <c r="AA54" s="113">
        <v>0</v>
      </c>
      <c r="AB54" s="113">
        <v>222</v>
      </c>
      <c r="AC54" s="113">
        <v>93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113">
        <v>0</v>
      </c>
      <c r="BG54" s="113">
        <v>0</v>
      </c>
      <c r="BH54" s="113">
        <v>0</v>
      </c>
      <c r="BI54" s="113"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72">
        <v>462</v>
      </c>
      <c r="BW54" s="172">
        <v>107</v>
      </c>
      <c r="BX54" s="172">
        <v>63</v>
      </c>
      <c r="BY54" s="168">
        <v>24</v>
      </c>
      <c r="BZ54" s="181">
        <v>0</v>
      </c>
      <c r="CA54" s="181">
        <v>0</v>
      </c>
      <c r="CB54" s="181">
        <v>3</v>
      </c>
      <c r="CC54" s="181">
        <v>3</v>
      </c>
      <c r="CD54" s="181">
        <v>0</v>
      </c>
      <c r="CE54" s="181">
        <v>0</v>
      </c>
      <c r="CF54" s="181">
        <v>0</v>
      </c>
      <c r="CG54" s="181">
        <v>0</v>
      </c>
      <c r="CH54" s="181">
        <v>0</v>
      </c>
      <c r="CI54" s="181">
        <v>0</v>
      </c>
      <c r="CJ54" s="181">
        <v>0</v>
      </c>
      <c r="CK54" s="181">
        <v>0</v>
      </c>
      <c r="CL54" s="181">
        <v>0</v>
      </c>
      <c r="CM54" s="181">
        <v>0</v>
      </c>
      <c r="CN54" s="181">
        <v>0</v>
      </c>
      <c r="CO54" s="181">
        <v>0</v>
      </c>
      <c r="CP54" s="181">
        <v>0</v>
      </c>
      <c r="CQ54" s="181">
        <v>0</v>
      </c>
      <c r="CR54" s="181">
        <v>0</v>
      </c>
      <c r="CS54" s="181">
        <v>0</v>
      </c>
      <c r="CT54" s="181">
        <v>0</v>
      </c>
      <c r="CU54" s="181">
        <v>0</v>
      </c>
      <c r="CV54" s="181">
        <v>0</v>
      </c>
      <c r="CW54" s="181">
        <v>0</v>
      </c>
      <c r="CX54" s="181">
        <v>0</v>
      </c>
      <c r="CY54" s="181">
        <v>0</v>
      </c>
      <c r="CZ54" s="181">
        <v>0</v>
      </c>
      <c r="DA54" s="181">
        <v>0</v>
      </c>
      <c r="DB54" s="181">
        <v>0</v>
      </c>
      <c r="DC54" s="181">
        <v>0</v>
      </c>
      <c r="DD54" s="181">
        <v>0</v>
      </c>
      <c r="DE54" s="181">
        <v>0</v>
      </c>
      <c r="DF54" s="181">
        <v>0</v>
      </c>
      <c r="DG54" s="181">
        <v>0</v>
      </c>
      <c r="DH54" s="181">
        <v>0</v>
      </c>
      <c r="DI54" s="181">
        <v>0</v>
      </c>
      <c r="DJ54" s="181">
        <v>0</v>
      </c>
      <c r="DK54" s="181">
        <v>0</v>
      </c>
      <c r="DL54" s="181">
        <v>0</v>
      </c>
      <c r="DM54" s="181">
        <v>0</v>
      </c>
      <c r="DN54" s="181">
        <v>0</v>
      </c>
      <c r="DO54" s="181">
        <v>0</v>
      </c>
      <c r="DP54" s="181">
        <v>0</v>
      </c>
      <c r="DQ54" s="181">
        <v>0</v>
      </c>
      <c r="DR54" s="181">
        <v>0</v>
      </c>
      <c r="DS54" s="181">
        <v>0</v>
      </c>
      <c r="DT54" s="181">
        <v>0</v>
      </c>
      <c r="DU54" s="181">
        <v>0</v>
      </c>
      <c r="DV54" s="181">
        <v>9</v>
      </c>
      <c r="DW54" s="181">
        <v>7</v>
      </c>
      <c r="DX54" s="181">
        <v>6</v>
      </c>
      <c r="DY54" s="181">
        <v>6</v>
      </c>
    </row>
    <row r="55" spans="2:129" ht="13.5">
      <c r="B55" s="174"/>
      <c r="C55" s="191"/>
      <c r="D55" s="174"/>
      <c r="E55" s="174"/>
      <c r="F55" s="174"/>
      <c r="G55" s="174"/>
      <c r="H55" s="174"/>
      <c r="I55" s="197"/>
      <c r="J55" s="169"/>
      <c r="K55" s="169"/>
      <c r="M55" s="187"/>
      <c r="N55" s="188"/>
      <c r="O55" s="172" t="s">
        <v>39</v>
      </c>
      <c r="P55" s="172" t="s">
        <v>1535</v>
      </c>
      <c r="Q55" s="172" t="s">
        <v>325</v>
      </c>
      <c r="R55" s="172" t="s">
        <v>1457</v>
      </c>
      <c r="S55" s="172">
        <v>3</v>
      </c>
      <c r="U55" s="172" t="s">
        <v>37</v>
      </c>
      <c r="V55" s="172" t="s">
        <v>1534</v>
      </c>
      <c r="W55" s="172" t="s">
        <v>1476</v>
      </c>
      <c r="X55" s="172">
        <v>1</v>
      </c>
      <c r="Y55" s="172" t="s">
        <v>1546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29</v>
      </c>
      <c r="AS55" s="113">
        <v>6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69</v>
      </c>
      <c r="BA55" s="113">
        <v>31</v>
      </c>
      <c r="BB55" s="113">
        <v>0</v>
      </c>
      <c r="BC55" s="113">
        <v>0</v>
      </c>
      <c r="BD55" s="113">
        <v>0</v>
      </c>
      <c r="BE55" s="113">
        <v>0</v>
      </c>
      <c r="BF55" s="113">
        <v>19</v>
      </c>
      <c r="BG55" s="113">
        <v>18</v>
      </c>
      <c r="BH55" s="113">
        <v>53</v>
      </c>
      <c r="BI55" s="113">
        <v>27</v>
      </c>
      <c r="BJ55" s="113">
        <v>1481</v>
      </c>
      <c r="BK55" s="113">
        <v>415</v>
      </c>
      <c r="BL55" s="113">
        <v>0</v>
      </c>
      <c r="BM55" s="113">
        <v>0</v>
      </c>
      <c r="BN55" s="113">
        <v>1</v>
      </c>
      <c r="BO55" s="113">
        <v>0</v>
      </c>
      <c r="BP55" s="113">
        <v>0</v>
      </c>
      <c r="BQ55" s="113">
        <v>0</v>
      </c>
      <c r="BR55" s="113">
        <v>92</v>
      </c>
      <c r="BS55" s="113">
        <v>56</v>
      </c>
      <c r="BT55" s="113">
        <v>39</v>
      </c>
      <c r="BU55" s="113">
        <v>27</v>
      </c>
      <c r="BV55" s="168">
        <v>41</v>
      </c>
      <c r="BW55" s="168">
        <v>24</v>
      </c>
      <c r="BX55" s="168">
        <v>0</v>
      </c>
      <c r="BY55" s="168">
        <v>0</v>
      </c>
      <c r="BZ55" s="181">
        <v>0</v>
      </c>
      <c r="CA55" s="181">
        <v>0</v>
      </c>
      <c r="CB55" s="181">
        <v>0</v>
      </c>
      <c r="CC55" s="181">
        <v>0</v>
      </c>
      <c r="CD55" s="181">
        <v>0</v>
      </c>
      <c r="CE55" s="181">
        <v>0</v>
      </c>
      <c r="CF55" s="181">
        <v>0</v>
      </c>
      <c r="CG55" s="181">
        <v>0</v>
      </c>
      <c r="CH55" s="181">
        <v>0</v>
      </c>
      <c r="CI55" s="181">
        <v>0</v>
      </c>
      <c r="CJ55" s="181">
        <v>0</v>
      </c>
      <c r="CK55" s="181">
        <v>0</v>
      </c>
      <c r="CL55" s="181">
        <v>0</v>
      </c>
      <c r="CM55" s="181">
        <v>0</v>
      </c>
      <c r="CN55" s="181">
        <v>0</v>
      </c>
      <c r="CO55" s="181">
        <v>0</v>
      </c>
      <c r="CP55" s="181">
        <v>0</v>
      </c>
      <c r="CQ55" s="181">
        <v>0</v>
      </c>
      <c r="CR55" s="181">
        <v>5</v>
      </c>
      <c r="CS55" s="181">
        <v>0</v>
      </c>
      <c r="CT55" s="181">
        <v>0</v>
      </c>
      <c r="CU55" s="181">
        <v>0</v>
      </c>
      <c r="CV55" s="181">
        <v>0</v>
      </c>
      <c r="CW55" s="181">
        <v>0</v>
      </c>
      <c r="CX55" s="181">
        <v>0</v>
      </c>
      <c r="CY55" s="181">
        <v>0</v>
      </c>
      <c r="CZ55" s="181">
        <v>4</v>
      </c>
      <c r="DA55" s="181">
        <v>0</v>
      </c>
      <c r="DB55" s="181">
        <v>0</v>
      </c>
      <c r="DC55" s="181">
        <v>0</v>
      </c>
      <c r="DD55" s="181">
        <v>0</v>
      </c>
      <c r="DE55" s="181">
        <v>0</v>
      </c>
      <c r="DF55" s="181">
        <v>6</v>
      </c>
      <c r="DG55" s="181">
        <v>6</v>
      </c>
      <c r="DH55" s="181">
        <v>3</v>
      </c>
      <c r="DI55" s="181">
        <v>1</v>
      </c>
      <c r="DJ55" s="181">
        <v>9</v>
      </c>
      <c r="DK55" s="181">
        <v>6</v>
      </c>
      <c r="DL55" s="181">
        <v>0</v>
      </c>
      <c r="DM55" s="181">
        <v>0</v>
      </c>
      <c r="DN55" s="181">
        <v>9</v>
      </c>
      <c r="DO55" s="181">
        <v>0</v>
      </c>
      <c r="DP55" s="181">
        <v>0</v>
      </c>
      <c r="DQ55" s="181">
        <v>0</v>
      </c>
      <c r="DR55" s="181">
        <v>9</v>
      </c>
      <c r="DS55" s="181">
        <v>4</v>
      </c>
      <c r="DT55" s="181">
        <v>11</v>
      </c>
      <c r="DU55" s="181">
        <v>5</v>
      </c>
      <c r="DV55" s="181">
        <v>2</v>
      </c>
      <c r="DW55" s="181">
        <v>1</v>
      </c>
      <c r="DX55" s="181">
        <v>0</v>
      </c>
      <c r="DY55" s="181">
        <v>0</v>
      </c>
    </row>
    <row r="56" spans="1:129" ht="13.5">
      <c r="A56" s="168"/>
      <c r="B56" s="190"/>
      <c r="C56" s="190"/>
      <c r="D56" s="190"/>
      <c r="E56" s="191"/>
      <c r="F56" s="191"/>
      <c r="G56" s="191"/>
      <c r="H56" s="191"/>
      <c r="I56" s="198"/>
      <c r="J56" s="199"/>
      <c r="K56" s="199"/>
      <c r="L56" s="199"/>
      <c r="M56" s="187"/>
      <c r="N56" s="188"/>
      <c r="O56" s="172" t="s">
        <v>39</v>
      </c>
      <c r="P56" s="172" t="s">
        <v>1535</v>
      </c>
      <c r="Q56" s="172" t="s">
        <v>1459</v>
      </c>
      <c r="R56" s="172" t="s">
        <v>1460</v>
      </c>
      <c r="S56" s="172">
        <v>4</v>
      </c>
      <c r="U56" s="172" t="s">
        <v>37</v>
      </c>
      <c r="V56" s="172" t="s">
        <v>1534</v>
      </c>
      <c r="W56" s="172" t="s">
        <v>1528</v>
      </c>
      <c r="X56" s="172">
        <v>2</v>
      </c>
      <c r="Y56" s="172" t="s">
        <v>1547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29</v>
      </c>
      <c r="AG56" s="113">
        <v>22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1</v>
      </c>
      <c r="AQ56" s="113">
        <v>0</v>
      </c>
      <c r="AR56" s="113">
        <v>1</v>
      </c>
      <c r="AS56" s="113">
        <v>0</v>
      </c>
      <c r="AT56" s="113">
        <v>0</v>
      </c>
      <c r="AU56" s="113">
        <v>0</v>
      </c>
      <c r="AV56" s="113">
        <v>1</v>
      </c>
      <c r="AW56" s="113">
        <v>10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113">
        <v>0</v>
      </c>
      <c r="BG56" s="113">
        <v>0</v>
      </c>
      <c r="BH56" s="113">
        <v>43</v>
      </c>
      <c r="BI56" s="113">
        <v>41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68">
        <v>0</v>
      </c>
      <c r="BW56" s="168">
        <v>0</v>
      </c>
      <c r="BX56" s="168">
        <v>17</v>
      </c>
      <c r="BY56" s="168">
        <v>5</v>
      </c>
      <c r="BZ56" s="181">
        <v>0</v>
      </c>
      <c r="CA56" s="181">
        <v>0</v>
      </c>
      <c r="CB56" s="181">
        <v>0</v>
      </c>
      <c r="CC56" s="181">
        <v>0</v>
      </c>
      <c r="CD56" s="181">
        <v>0</v>
      </c>
      <c r="CE56" s="181">
        <v>0</v>
      </c>
      <c r="CF56" s="181">
        <v>3</v>
      </c>
      <c r="CG56" s="181">
        <v>1</v>
      </c>
      <c r="CH56" s="181">
        <v>0</v>
      </c>
      <c r="CI56" s="181">
        <v>0</v>
      </c>
      <c r="CJ56" s="181">
        <v>0</v>
      </c>
      <c r="CK56" s="181">
        <v>0</v>
      </c>
      <c r="CL56" s="181">
        <v>0</v>
      </c>
      <c r="CM56" s="181">
        <v>0</v>
      </c>
      <c r="CN56" s="181">
        <v>0</v>
      </c>
      <c r="CO56" s="181">
        <v>0</v>
      </c>
      <c r="CP56" s="181">
        <v>5</v>
      </c>
      <c r="CQ56" s="181">
        <v>0</v>
      </c>
      <c r="CR56" s="181">
        <v>5</v>
      </c>
      <c r="CS56" s="181">
        <v>0</v>
      </c>
      <c r="CT56" s="181">
        <v>0</v>
      </c>
      <c r="CU56" s="181">
        <v>0</v>
      </c>
      <c r="CV56" s="181">
        <v>5</v>
      </c>
      <c r="CW56" s="181">
        <v>1</v>
      </c>
      <c r="CX56" s="181">
        <v>0</v>
      </c>
      <c r="CY56" s="181">
        <v>0</v>
      </c>
      <c r="CZ56" s="181">
        <v>0</v>
      </c>
      <c r="DA56" s="181">
        <v>0</v>
      </c>
      <c r="DB56" s="181">
        <v>0</v>
      </c>
      <c r="DC56" s="181">
        <v>0</v>
      </c>
      <c r="DD56" s="181">
        <v>0</v>
      </c>
      <c r="DE56" s="181">
        <v>0</v>
      </c>
      <c r="DF56" s="181">
        <v>0</v>
      </c>
      <c r="DG56" s="181">
        <v>0</v>
      </c>
      <c r="DH56" s="181">
        <v>10</v>
      </c>
      <c r="DI56" s="181">
        <v>3</v>
      </c>
      <c r="DJ56" s="181">
        <v>0</v>
      </c>
      <c r="DK56" s="181">
        <v>0</v>
      </c>
      <c r="DL56" s="181">
        <v>0</v>
      </c>
      <c r="DM56" s="181">
        <v>0</v>
      </c>
      <c r="DN56" s="181">
        <v>0</v>
      </c>
      <c r="DO56" s="181">
        <v>0</v>
      </c>
      <c r="DP56" s="181">
        <v>0</v>
      </c>
      <c r="DQ56" s="181">
        <v>0</v>
      </c>
      <c r="DR56" s="181">
        <v>0</v>
      </c>
      <c r="DS56" s="181">
        <v>0</v>
      </c>
      <c r="DT56" s="181">
        <v>0</v>
      </c>
      <c r="DU56" s="181">
        <v>0</v>
      </c>
      <c r="DV56" s="181">
        <v>0</v>
      </c>
      <c r="DW56" s="181">
        <v>0</v>
      </c>
      <c r="DX56" s="181">
        <v>9</v>
      </c>
      <c r="DY56" s="181">
        <v>1</v>
      </c>
    </row>
    <row r="57" spans="1:129" ht="13.5">
      <c r="A57" s="168"/>
      <c r="B57" s="174"/>
      <c r="C57" s="174"/>
      <c r="D57" s="174"/>
      <c r="E57" s="174"/>
      <c r="F57" s="174"/>
      <c r="G57" s="174"/>
      <c r="H57" s="174"/>
      <c r="I57" s="197"/>
      <c r="J57" s="169"/>
      <c r="K57" s="169"/>
      <c r="M57" s="187"/>
      <c r="N57" s="188"/>
      <c r="O57" s="172" t="s">
        <v>40</v>
      </c>
      <c r="P57" s="172" t="s">
        <v>1536</v>
      </c>
      <c r="Q57" s="172" t="s">
        <v>1420</v>
      </c>
      <c r="R57" s="172" t="s">
        <v>1421</v>
      </c>
      <c r="S57" s="172">
        <v>1</v>
      </c>
      <c r="U57" s="172" t="s">
        <v>39</v>
      </c>
      <c r="V57" s="172" t="s">
        <v>1535</v>
      </c>
      <c r="W57" s="172" t="s">
        <v>321</v>
      </c>
      <c r="X57" s="172">
        <v>1</v>
      </c>
      <c r="Y57" s="172" t="s">
        <v>1548</v>
      </c>
      <c r="Z57" s="113">
        <v>0</v>
      </c>
      <c r="AA57" s="113">
        <v>0</v>
      </c>
      <c r="AB57" s="113">
        <v>4878</v>
      </c>
      <c r="AC57" s="113">
        <v>678</v>
      </c>
      <c r="AD57" s="113">
        <v>1705</v>
      </c>
      <c r="AE57" s="113">
        <v>556</v>
      </c>
      <c r="AF57" s="113">
        <v>178</v>
      </c>
      <c r="AG57" s="113">
        <v>39</v>
      </c>
      <c r="AH57" s="113">
        <v>283</v>
      </c>
      <c r="AI57" s="113">
        <v>96</v>
      </c>
      <c r="AJ57" s="113">
        <v>605</v>
      </c>
      <c r="AK57" s="113">
        <v>220</v>
      </c>
      <c r="AL57" s="113">
        <v>185</v>
      </c>
      <c r="AM57" s="113">
        <v>59</v>
      </c>
      <c r="AN57" s="113">
        <v>102</v>
      </c>
      <c r="AO57" s="113">
        <v>39</v>
      </c>
      <c r="AP57" s="113">
        <v>536</v>
      </c>
      <c r="AQ57" s="113">
        <v>144</v>
      </c>
      <c r="AR57" s="113">
        <v>1928</v>
      </c>
      <c r="AS57" s="113">
        <v>425</v>
      </c>
      <c r="AT57" s="113">
        <v>386</v>
      </c>
      <c r="AU57" s="113">
        <v>155</v>
      </c>
      <c r="AV57" s="113">
        <v>1415</v>
      </c>
      <c r="AW57" s="113">
        <v>478</v>
      </c>
      <c r="AX57" s="113">
        <v>470</v>
      </c>
      <c r="AY57" s="113">
        <v>140</v>
      </c>
      <c r="AZ57" s="113">
        <v>303</v>
      </c>
      <c r="BA57" s="113">
        <v>94</v>
      </c>
      <c r="BB57" s="113">
        <v>0</v>
      </c>
      <c r="BC57" s="113">
        <v>0</v>
      </c>
      <c r="BD57" s="113">
        <v>0</v>
      </c>
      <c r="BE57" s="113">
        <v>0</v>
      </c>
      <c r="BF57" s="113">
        <v>275</v>
      </c>
      <c r="BG57" s="113">
        <v>98</v>
      </c>
      <c r="BH57" s="113">
        <v>1651</v>
      </c>
      <c r="BI57" s="113">
        <v>376</v>
      </c>
      <c r="BJ57" s="113">
        <v>1206</v>
      </c>
      <c r="BK57" s="113">
        <v>261</v>
      </c>
      <c r="BL57" s="113">
        <v>269</v>
      </c>
      <c r="BM57" s="113">
        <v>97</v>
      </c>
      <c r="BN57" s="113">
        <v>86</v>
      </c>
      <c r="BO57" s="113">
        <v>0</v>
      </c>
      <c r="BP57" s="113">
        <v>5</v>
      </c>
      <c r="BQ57" s="113">
        <v>0</v>
      </c>
      <c r="BR57" s="113">
        <v>332</v>
      </c>
      <c r="BS57" s="113">
        <v>100</v>
      </c>
      <c r="BT57" s="113">
        <v>46</v>
      </c>
      <c r="BU57" s="113">
        <v>10</v>
      </c>
      <c r="BV57" s="172">
        <v>24</v>
      </c>
      <c r="BW57" s="172">
        <v>1</v>
      </c>
      <c r="BX57" s="172">
        <v>193</v>
      </c>
      <c r="BY57" s="168">
        <v>101</v>
      </c>
      <c r="BZ57" s="181">
        <v>0</v>
      </c>
      <c r="CA57" s="181">
        <v>0</v>
      </c>
      <c r="CB57" s="181">
        <v>1</v>
      </c>
      <c r="CC57" s="181">
        <v>0</v>
      </c>
      <c r="CD57" s="181">
        <v>2</v>
      </c>
      <c r="CE57" s="181">
        <v>1</v>
      </c>
      <c r="CF57" s="181">
        <v>3</v>
      </c>
      <c r="CG57" s="181">
        <v>3</v>
      </c>
      <c r="CH57" s="181">
        <v>0</v>
      </c>
      <c r="CI57" s="181">
        <v>0</v>
      </c>
      <c r="CJ57" s="181">
        <v>11</v>
      </c>
      <c r="CK57" s="181">
        <v>9</v>
      </c>
      <c r="CL57" s="181">
        <v>6</v>
      </c>
      <c r="CM57" s="181">
        <v>0</v>
      </c>
      <c r="CN57" s="181">
        <v>4</v>
      </c>
      <c r="CO57" s="181">
        <v>0</v>
      </c>
      <c r="CP57" s="181">
        <v>4</v>
      </c>
      <c r="CQ57" s="181">
        <v>1</v>
      </c>
      <c r="CR57" s="181">
        <v>11</v>
      </c>
      <c r="CS57" s="181">
        <v>10</v>
      </c>
      <c r="CT57" s="181">
        <v>1</v>
      </c>
      <c r="CU57" s="181">
        <v>0</v>
      </c>
      <c r="CV57" s="181">
        <v>1</v>
      </c>
      <c r="CW57" s="181">
        <v>0</v>
      </c>
      <c r="CX57" s="181">
        <v>1</v>
      </c>
      <c r="CY57" s="181">
        <v>0</v>
      </c>
      <c r="CZ57" s="181">
        <v>10</v>
      </c>
      <c r="DA57" s="181">
        <v>7</v>
      </c>
      <c r="DB57" s="181">
        <v>0</v>
      </c>
      <c r="DC57" s="181">
        <v>0</v>
      </c>
      <c r="DD57" s="181">
        <v>0</v>
      </c>
      <c r="DE57" s="181">
        <v>0</v>
      </c>
      <c r="DF57" s="181">
        <v>0</v>
      </c>
      <c r="DG57" s="181">
        <v>0</v>
      </c>
      <c r="DH57" s="181">
        <v>6</v>
      </c>
      <c r="DI57" s="181">
        <v>5</v>
      </c>
      <c r="DJ57" s="181">
        <v>5</v>
      </c>
      <c r="DK57" s="181">
        <v>1</v>
      </c>
      <c r="DL57" s="181">
        <v>8</v>
      </c>
      <c r="DM57" s="181">
        <v>6</v>
      </c>
      <c r="DN57" s="181">
        <v>9</v>
      </c>
      <c r="DO57" s="181">
        <v>0</v>
      </c>
      <c r="DP57" s="181">
        <v>4</v>
      </c>
      <c r="DQ57" s="181">
        <v>0</v>
      </c>
      <c r="DR57" s="181">
        <v>5</v>
      </c>
      <c r="DS57" s="181">
        <v>3</v>
      </c>
      <c r="DT57" s="181">
        <v>8</v>
      </c>
      <c r="DU57" s="181">
        <v>2</v>
      </c>
      <c r="DV57" s="181">
        <v>1</v>
      </c>
      <c r="DW57" s="181">
        <v>1</v>
      </c>
      <c r="DX57" s="181">
        <v>5</v>
      </c>
      <c r="DY57" s="181">
        <v>5</v>
      </c>
    </row>
    <row r="58" spans="1:129" ht="13.5">
      <c r="A58" s="168"/>
      <c r="B58" s="174"/>
      <c r="C58" s="174"/>
      <c r="D58" s="174"/>
      <c r="E58" s="174"/>
      <c r="F58" s="174"/>
      <c r="G58" s="174"/>
      <c r="H58" s="174"/>
      <c r="I58" s="197"/>
      <c r="J58" s="169"/>
      <c r="K58" s="169"/>
      <c r="M58" s="187"/>
      <c r="N58" s="188"/>
      <c r="O58" s="172" t="s">
        <v>40</v>
      </c>
      <c r="P58" s="172" t="s">
        <v>1536</v>
      </c>
      <c r="Q58" s="172" t="s">
        <v>1445</v>
      </c>
      <c r="R58" s="172" t="s">
        <v>1446</v>
      </c>
      <c r="S58" s="172">
        <v>2</v>
      </c>
      <c r="U58" s="172" t="s">
        <v>39</v>
      </c>
      <c r="V58" s="172" t="s">
        <v>1535</v>
      </c>
      <c r="W58" s="172" t="s">
        <v>1442</v>
      </c>
      <c r="X58" s="172">
        <v>2</v>
      </c>
      <c r="Y58" s="172" t="s">
        <v>1549</v>
      </c>
      <c r="Z58" s="113">
        <v>0</v>
      </c>
      <c r="AA58" s="113">
        <v>0</v>
      </c>
      <c r="AB58" s="113">
        <v>3655</v>
      </c>
      <c r="AC58" s="113">
        <v>440</v>
      </c>
      <c r="AD58" s="113">
        <v>2028</v>
      </c>
      <c r="AE58" s="113">
        <v>487</v>
      </c>
      <c r="AF58" s="113">
        <v>28</v>
      </c>
      <c r="AG58" s="113">
        <v>13</v>
      </c>
      <c r="AH58" s="113">
        <v>135</v>
      </c>
      <c r="AI58" s="113">
        <v>30</v>
      </c>
      <c r="AJ58" s="113">
        <v>928</v>
      </c>
      <c r="AK58" s="113">
        <v>258</v>
      </c>
      <c r="AL58" s="113">
        <v>56</v>
      </c>
      <c r="AM58" s="113">
        <v>16</v>
      </c>
      <c r="AN58" s="113">
        <v>50</v>
      </c>
      <c r="AO58" s="113">
        <v>18</v>
      </c>
      <c r="AP58" s="113">
        <v>97</v>
      </c>
      <c r="AQ58" s="113">
        <v>13</v>
      </c>
      <c r="AR58" s="113">
        <v>1615</v>
      </c>
      <c r="AS58" s="113">
        <v>324</v>
      </c>
      <c r="AT58" s="113">
        <v>749</v>
      </c>
      <c r="AU58" s="113">
        <v>247</v>
      </c>
      <c r="AV58" s="113">
        <v>2439</v>
      </c>
      <c r="AW58" s="113">
        <v>598</v>
      </c>
      <c r="AX58" s="113">
        <v>1136</v>
      </c>
      <c r="AY58" s="113">
        <v>230</v>
      </c>
      <c r="AZ58" s="113">
        <v>128</v>
      </c>
      <c r="BA58" s="113">
        <v>36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13">
        <v>0</v>
      </c>
      <c r="BH58" s="113">
        <v>2155</v>
      </c>
      <c r="BI58" s="113">
        <v>456</v>
      </c>
      <c r="BJ58" s="113">
        <v>1599</v>
      </c>
      <c r="BK58" s="113">
        <v>253</v>
      </c>
      <c r="BL58" s="113">
        <v>359</v>
      </c>
      <c r="BM58" s="113">
        <v>81</v>
      </c>
      <c r="BN58" s="113">
        <v>966</v>
      </c>
      <c r="BO58" s="113">
        <v>396</v>
      </c>
      <c r="BP58" s="113">
        <v>170</v>
      </c>
      <c r="BQ58" s="113">
        <v>70</v>
      </c>
      <c r="BR58" s="113">
        <v>1384</v>
      </c>
      <c r="BS58" s="113">
        <v>301</v>
      </c>
      <c r="BT58" s="113">
        <v>223</v>
      </c>
      <c r="BU58" s="113">
        <v>36</v>
      </c>
      <c r="BV58" s="172">
        <v>0</v>
      </c>
      <c r="BW58" s="172">
        <v>0</v>
      </c>
      <c r="BX58" s="172">
        <v>0</v>
      </c>
      <c r="BY58" s="168">
        <v>0</v>
      </c>
      <c r="BZ58" s="181">
        <v>0</v>
      </c>
      <c r="CA58" s="181">
        <v>0</v>
      </c>
      <c r="CB58" s="181">
        <v>11</v>
      </c>
      <c r="CC58" s="181">
        <v>10</v>
      </c>
      <c r="CD58" s="181">
        <v>1</v>
      </c>
      <c r="CE58" s="181">
        <v>0</v>
      </c>
      <c r="CF58" s="181">
        <v>3</v>
      </c>
      <c r="CG58" s="181">
        <v>2</v>
      </c>
      <c r="CH58" s="181">
        <v>4</v>
      </c>
      <c r="CI58" s="181">
        <v>2</v>
      </c>
      <c r="CJ58" s="181">
        <v>12</v>
      </c>
      <c r="CK58" s="181">
        <v>4</v>
      </c>
      <c r="CL58" s="181">
        <v>3</v>
      </c>
      <c r="CM58" s="181">
        <v>3</v>
      </c>
      <c r="CN58" s="181">
        <v>12</v>
      </c>
      <c r="CO58" s="181">
        <v>4</v>
      </c>
      <c r="CP58" s="181">
        <v>11</v>
      </c>
      <c r="CQ58" s="181">
        <v>2</v>
      </c>
      <c r="CR58" s="181">
        <v>6</v>
      </c>
      <c r="CS58" s="181">
        <v>0</v>
      </c>
      <c r="CT58" s="181">
        <v>3</v>
      </c>
      <c r="CU58" s="181">
        <v>3</v>
      </c>
      <c r="CV58" s="181">
        <v>9</v>
      </c>
      <c r="CW58" s="181">
        <v>4</v>
      </c>
      <c r="CX58" s="181">
        <v>6</v>
      </c>
      <c r="CY58" s="181">
        <v>3</v>
      </c>
      <c r="CZ58" s="181">
        <v>12</v>
      </c>
      <c r="DA58" s="181">
        <v>0</v>
      </c>
      <c r="DB58" s="181">
        <v>0</v>
      </c>
      <c r="DC58" s="181">
        <v>0</v>
      </c>
      <c r="DD58" s="181">
        <v>0</v>
      </c>
      <c r="DE58" s="181">
        <v>0</v>
      </c>
      <c r="DF58" s="181">
        <v>0</v>
      </c>
      <c r="DG58" s="181">
        <v>0</v>
      </c>
      <c r="DH58" s="181">
        <v>8</v>
      </c>
      <c r="DI58" s="181">
        <v>8</v>
      </c>
      <c r="DJ58" s="181">
        <v>3</v>
      </c>
      <c r="DK58" s="181">
        <v>3</v>
      </c>
      <c r="DL58" s="181">
        <v>1</v>
      </c>
      <c r="DM58" s="181">
        <v>1</v>
      </c>
      <c r="DN58" s="181">
        <v>9</v>
      </c>
      <c r="DO58" s="181">
        <v>9</v>
      </c>
      <c r="DP58" s="181">
        <v>2</v>
      </c>
      <c r="DQ58" s="181">
        <v>2</v>
      </c>
      <c r="DR58" s="181">
        <v>0</v>
      </c>
      <c r="DS58" s="181">
        <v>0</v>
      </c>
      <c r="DT58" s="181">
        <v>9</v>
      </c>
      <c r="DU58" s="181">
        <v>2</v>
      </c>
      <c r="DV58" s="181">
        <v>0</v>
      </c>
      <c r="DW58" s="181">
        <v>0</v>
      </c>
      <c r="DX58" s="181">
        <v>0</v>
      </c>
      <c r="DY58" s="181">
        <v>0</v>
      </c>
    </row>
    <row r="59" spans="1:129" ht="13.5">
      <c r="A59" s="168"/>
      <c r="B59" s="168"/>
      <c r="C59" s="168"/>
      <c r="D59" s="168"/>
      <c r="E59" s="174"/>
      <c r="F59" s="174"/>
      <c r="G59" s="174"/>
      <c r="H59" s="174"/>
      <c r="I59" s="197"/>
      <c r="J59" s="169"/>
      <c r="K59" s="169"/>
      <c r="M59" s="187"/>
      <c r="N59" s="188"/>
      <c r="O59" s="172" t="s">
        <v>40</v>
      </c>
      <c r="P59" s="172" t="s">
        <v>1536</v>
      </c>
      <c r="Q59" s="172" t="s">
        <v>320</v>
      </c>
      <c r="R59" s="172" t="s">
        <v>1462</v>
      </c>
      <c r="S59" s="172">
        <v>3</v>
      </c>
      <c r="U59" s="172" t="s">
        <v>39</v>
      </c>
      <c r="V59" s="172" t="s">
        <v>1535</v>
      </c>
      <c r="W59" s="172" t="s">
        <v>325</v>
      </c>
      <c r="X59" s="172">
        <v>3</v>
      </c>
      <c r="Y59" s="172" t="s">
        <v>1550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22</v>
      </c>
      <c r="AM59" s="113">
        <v>9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11</v>
      </c>
      <c r="AW59" s="113">
        <v>10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113">
        <v>0</v>
      </c>
      <c r="BG59" s="113">
        <v>0</v>
      </c>
      <c r="BH59" s="113">
        <v>48</v>
      </c>
      <c r="BI59" s="113">
        <v>34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72">
        <v>41</v>
      </c>
      <c r="BW59" s="172">
        <v>12</v>
      </c>
      <c r="BX59" s="172">
        <v>13</v>
      </c>
      <c r="BY59" s="168">
        <v>7</v>
      </c>
      <c r="BZ59" s="181">
        <v>0</v>
      </c>
      <c r="CA59" s="181">
        <v>0</v>
      </c>
      <c r="CB59" s="181">
        <v>0</v>
      </c>
      <c r="CC59" s="181">
        <v>0</v>
      </c>
      <c r="CD59" s="181">
        <v>0</v>
      </c>
      <c r="CE59" s="181">
        <v>0</v>
      </c>
      <c r="CF59" s="181">
        <v>0</v>
      </c>
      <c r="CG59" s="181">
        <v>0</v>
      </c>
      <c r="CH59" s="181">
        <v>0</v>
      </c>
      <c r="CI59" s="181">
        <v>0</v>
      </c>
      <c r="CJ59" s="181">
        <v>0</v>
      </c>
      <c r="CK59" s="181">
        <v>0</v>
      </c>
      <c r="CL59" s="181">
        <v>8</v>
      </c>
      <c r="CM59" s="181">
        <v>5</v>
      </c>
      <c r="CN59" s="181">
        <v>0</v>
      </c>
      <c r="CO59" s="181">
        <v>0</v>
      </c>
      <c r="CP59" s="181">
        <v>0</v>
      </c>
      <c r="CQ59" s="181">
        <v>0</v>
      </c>
      <c r="CR59" s="181">
        <v>0</v>
      </c>
      <c r="CS59" s="181">
        <v>0</v>
      </c>
      <c r="CT59" s="181">
        <v>0</v>
      </c>
      <c r="CU59" s="181">
        <v>0</v>
      </c>
      <c r="CV59" s="181">
        <v>4</v>
      </c>
      <c r="CW59" s="181">
        <v>2</v>
      </c>
      <c r="CX59" s="181">
        <v>0</v>
      </c>
      <c r="CY59" s="181">
        <v>0</v>
      </c>
      <c r="CZ59" s="181">
        <v>0</v>
      </c>
      <c r="DA59" s="181">
        <v>0</v>
      </c>
      <c r="DB59" s="181">
        <v>0</v>
      </c>
      <c r="DC59" s="181">
        <v>0</v>
      </c>
      <c r="DD59" s="181">
        <v>0</v>
      </c>
      <c r="DE59" s="181">
        <v>0</v>
      </c>
      <c r="DF59" s="181">
        <v>0</v>
      </c>
      <c r="DG59" s="181">
        <v>0</v>
      </c>
      <c r="DH59" s="181">
        <v>4</v>
      </c>
      <c r="DI59" s="181">
        <v>3</v>
      </c>
      <c r="DJ59" s="181">
        <v>0</v>
      </c>
      <c r="DK59" s="181">
        <v>0</v>
      </c>
      <c r="DL59" s="181">
        <v>0</v>
      </c>
      <c r="DM59" s="181">
        <v>0</v>
      </c>
      <c r="DN59" s="181">
        <v>0</v>
      </c>
      <c r="DO59" s="181">
        <v>0</v>
      </c>
      <c r="DP59" s="181">
        <v>0</v>
      </c>
      <c r="DQ59" s="181">
        <v>0</v>
      </c>
      <c r="DR59" s="181">
        <v>0</v>
      </c>
      <c r="DS59" s="181">
        <v>0</v>
      </c>
      <c r="DT59" s="181">
        <v>0</v>
      </c>
      <c r="DU59" s="181">
        <v>0</v>
      </c>
      <c r="DV59" s="181">
        <v>5</v>
      </c>
      <c r="DW59" s="181">
        <v>5</v>
      </c>
      <c r="DX59" s="181">
        <v>2</v>
      </c>
      <c r="DY59" s="181">
        <v>0</v>
      </c>
    </row>
    <row r="60" spans="1:129" ht="13.5">
      <c r="A60" s="168"/>
      <c r="B60" s="168">
        <v>1</v>
      </c>
      <c r="C60" s="168" t="s">
        <v>1326</v>
      </c>
      <c r="D60" s="168" t="s">
        <v>1353</v>
      </c>
      <c r="E60" s="174"/>
      <c r="F60" s="174"/>
      <c r="G60" s="174"/>
      <c r="H60" s="174"/>
      <c r="I60" s="197"/>
      <c r="J60" s="169"/>
      <c r="K60" s="169"/>
      <c r="M60" s="187"/>
      <c r="N60" s="188"/>
      <c r="O60" s="172" t="s">
        <v>40</v>
      </c>
      <c r="P60" s="172" t="s">
        <v>1536</v>
      </c>
      <c r="Q60" s="172" t="s">
        <v>1487</v>
      </c>
      <c r="R60" s="172" t="s">
        <v>1488</v>
      </c>
      <c r="S60" s="172">
        <v>4</v>
      </c>
      <c r="U60" s="172" t="s">
        <v>39</v>
      </c>
      <c r="V60" s="172" t="s">
        <v>1535</v>
      </c>
      <c r="W60" s="172" t="s">
        <v>1459</v>
      </c>
      <c r="X60" s="172">
        <v>4</v>
      </c>
      <c r="Y60" s="172" t="s">
        <v>1551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54</v>
      </c>
      <c r="AW60" s="113">
        <v>0</v>
      </c>
      <c r="AX60" s="113">
        <v>0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F60" s="113">
        <v>0</v>
      </c>
      <c r="BG60" s="113">
        <v>0</v>
      </c>
      <c r="BH60" s="113">
        <v>140</v>
      </c>
      <c r="BI60" s="113">
        <v>3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57</v>
      </c>
      <c r="BU60" s="113">
        <v>3</v>
      </c>
      <c r="BV60" s="172">
        <v>0</v>
      </c>
      <c r="BW60" s="172">
        <v>0</v>
      </c>
      <c r="BX60" s="172">
        <v>0</v>
      </c>
      <c r="BY60" s="168">
        <v>0</v>
      </c>
      <c r="BZ60" s="181">
        <v>0</v>
      </c>
      <c r="CA60" s="181">
        <v>0</v>
      </c>
      <c r="CB60" s="181">
        <v>0</v>
      </c>
      <c r="CC60" s="181">
        <v>0</v>
      </c>
      <c r="CD60" s="181">
        <v>0</v>
      </c>
      <c r="CE60" s="181">
        <v>0</v>
      </c>
      <c r="CF60" s="181">
        <v>0</v>
      </c>
      <c r="CG60" s="181">
        <v>0</v>
      </c>
      <c r="CH60" s="181">
        <v>0</v>
      </c>
      <c r="CI60" s="181">
        <v>0</v>
      </c>
      <c r="CJ60" s="181">
        <v>0</v>
      </c>
      <c r="CK60" s="181">
        <v>0</v>
      </c>
      <c r="CL60" s="181">
        <v>0</v>
      </c>
      <c r="CM60" s="181">
        <v>0</v>
      </c>
      <c r="CN60" s="181">
        <v>0</v>
      </c>
      <c r="CO60" s="181">
        <v>0</v>
      </c>
      <c r="CP60" s="181">
        <v>0</v>
      </c>
      <c r="CQ60" s="181">
        <v>0</v>
      </c>
      <c r="CR60" s="181">
        <v>0</v>
      </c>
      <c r="CS60" s="181">
        <v>0</v>
      </c>
      <c r="CT60" s="181">
        <v>0</v>
      </c>
      <c r="CU60" s="181">
        <v>0</v>
      </c>
      <c r="CV60" s="181">
        <v>3</v>
      </c>
      <c r="CW60" s="181">
        <v>0</v>
      </c>
      <c r="CX60" s="181">
        <v>0</v>
      </c>
      <c r="CY60" s="181">
        <v>0</v>
      </c>
      <c r="CZ60" s="181">
        <v>0</v>
      </c>
      <c r="DA60" s="181">
        <v>0</v>
      </c>
      <c r="DB60" s="181">
        <v>0</v>
      </c>
      <c r="DC60" s="181">
        <v>0</v>
      </c>
      <c r="DD60" s="181">
        <v>0</v>
      </c>
      <c r="DE60" s="181">
        <v>0</v>
      </c>
      <c r="DF60" s="181">
        <v>0</v>
      </c>
      <c r="DG60" s="181">
        <v>0</v>
      </c>
      <c r="DH60" s="181">
        <v>1</v>
      </c>
      <c r="DI60" s="181">
        <v>1</v>
      </c>
      <c r="DJ60" s="181">
        <v>0</v>
      </c>
      <c r="DK60" s="181">
        <v>0</v>
      </c>
      <c r="DL60" s="181">
        <v>0</v>
      </c>
      <c r="DM60" s="181">
        <v>0</v>
      </c>
      <c r="DN60" s="181">
        <v>0</v>
      </c>
      <c r="DO60" s="181">
        <v>0</v>
      </c>
      <c r="DP60" s="181">
        <v>0</v>
      </c>
      <c r="DQ60" s="181">
        <v>0</v>
      </c>
      <c r="DR60" s="181">
        <v>0</v>
      </c>
      <c r="DS60" s="181">
        <v>0</v>
      </c>
      <c r="DT60" s="181">
        <v>11</v>
      </c>
      <c r="DU60" s="181">
        <v>5</v>
      </c>
      <c r="DV60" s="181">
        <v>0</v>
      </c>
      <c r="DW60" s="181">
        <v>0</v>
      </c>
      <c r="DX60" s="181">
        <v>0</v>
      </c>
      <c r="DY60" s="181">
        <v>0</v>
      </c>
    </row>
    <row r="61" spans="1:129" ht="13.5">
      <c r="A61" s="168"/>
      <c r="B61" s="168">
        <v>2</v>
      </c>
      <c r="C61" s="168" t="s">
        <v>37</v>
      </c>
      <c r="D61" s="168" t="s">
        <v>1534</v>
      </c>
      <c r="E61" s="174"/>
      <c r="F61" s="174"/>
      <c r="G61" s="174"/>
      <c r="H61" s="174"/>
      <c r="I61" s="197"/>
      <c r="J61" s="169"/>
      <c r="K61" s="169"/>
      <c r="M61" s="187"/>
      <c r="N61" s="188"/>
      <c r="O61" s="172" t="s">
        <v>40</v>
      </c>
      <c r="P61" s="172" t="s">
        <v>1536</v>
      </c>
      <c r="Q61" s="172" t="s">
        <v>1500</v>
      </c>
      <c r="R61" s="172" t="s">
        <v>1501</v>
      </c>
      <c r="S61" s="172">
        <v>5</v>
      </c>
      <c r="U61" s="172" t="s">
        <v>40</v>
      </c>
      <c r="V61" s="172" t="s">
        <v>1536</v>
      </c>
      <c r="W61" s="172" t="s">
        <v>1420</v>
      </c>
      <c r="X61" s="172">
        <v>1</v>
      </c>
      <c r="Y61" s="172" t="s">
        <v>1552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5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23</v>
      </c>
      <c r="AW61" s="113">
        <v>14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113">
        <v>0</v>
      </c>
      <c r="BG61" s="113">
        <v>0</v>
      </c>
      <c r="BH61" s="113">
        <v>116</v>
      </c>
      <c r="BI61" s="113">
        <v>69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72">
        <v>66</v>
      </c>
      <c r="BW61" s="172">
        <v>16</v>
      </c>
      <c r="BX61" s="172">
        <v>0</v>
      </c>
      <c r="BY61" s="168">
        <v>0</v>
      </c>
      <c r="BZ61" s="181">
        <v>0</v>
      </c>
      <c r="CA61" s="181">
        <v>0</v>
      </c>
      <c r="CB61" s="181">
        <v>0</v>
      </c>
      <c r="CC61" s="181">
        <v>0</v>
      </c>
      <c r="CD61" s="181">
        <v>0</v>
      </c>
      <c r="CE61" s="181">
        <v>0</v>
      </c>
      <c r="CF61" s="181">
        <v>0</v>
      </c>
      <c r="CG61" s="181">
        <v>0</v>
      </c>
      <c r="CH61" s="181">
        <v>0</v>
      </c>
      <c r="CI61" s="181">
        <v>0</v>
      </c>
      <c r="CJ61" s="181">
        <v>10</v>
      </c>
      <c r="CK61" s="181">
        <v>0</v>
      </c>
      <c r="CL61" s="181">
        <v>0</v>
      </c>
      <c r="CM61" s="181">
        <v>0</v>
      </c>
      <c r="CN61" s="181">
        <v>0</v>
      </c>
      <c r="CO61" s="181">
        <v>0</v>
      </c>
      <c r="CP61" s="181">
        <v>0</v>
      </c>
      <c r="CQ61" s="181">
        <v>0</v>
      </c>
      <c r="CR61" s="181">
        <v>0</v>
      </c>
      <c r="CS61" s="181">
        <v>0</v>
      </c>
      <c r="CT61" s="181">
        <v>0</v>
      </c>
      <c r="CU61" s="181">
        <v>0</v>
      </c>
      <c r="CV61" s="181">
        <v>6</v>
      </c>
      <c r="CW61" s="181">
        <v>4</v>
      </c>
      <c r="CX61" s="181">
        <v>0</v>
      </c>
      <c r="CY61" s="181">
        <v>0</v>
      </c>
      <c r="CZ61" s="181">
        <v>0</v>
      </c>
      <c r="DA61" s="181">
        <v>0</v>
      </c>
      <c r="DB61" s="181">
        <v>0</v>
      </c>
      <c r="DC61" s="181">
        <v>0</v>
      </c>
      <c r="DD61" s="181">
        <v>0</v>
      </c>
      <c r="DE61" s="181">
        <v>0</v>
      </c>
      <c r="DF61" s="181">
        <v>0</v>
      </c>
      <c r="DG61" s="181">
        <v>0</v>
      </c>
      <c r="DH61" s="181">
        <v>9</v>
      </c>
      <c r="DI61" s="181">
        <v>2</v>
      </c>
      <c r="DJ61" s="181">
        <v>0</v>
      </c>
      <c r="DK61" s="181">
        <v>0</v>
      </c>
      <c r="DL61" s="181">
        <v>0</v>
      </c>
      <c r="DM61" s="181">
        <v>0</v>
      </c>
      <c r="DN61" s="181">
        <v>0</v>
      </c>
      <c r="DO61" s="181">
        <v>0</v>
      </c>
      <c r="DP61" s="181">
        <v>0</v>
      </c>
      <c r="DQ61" s="181">
        <v>0</v>
      </c>
      <c r="DR61" s="181">
        <v>0</v>
      </c>
      <c r="DS61" s="181">
        <v>0</v>
      </c>
      <c r="DT61" s="181">
        <v>0</v>
      </c>
      <c r="DU61" s="181">
        <v>0</v>
      </c>
      <c r="DV61" s="181">
        <v>8</v>
      </c>
      <c r="DW61" s="181">
        <v>8</v>
      </c>
      <c r="DX61" s="181">
        <v>0</v>
      </c>
      <c r="DY61" s="181">
        <v>0</v>
      </c>
    </row>
    <row r="62" spans="1:129" ht="13.5">
      <c r="A62" s="168"/>
      <c r="B62" s="168">
        <v>3</v>
      </c>
      <c r="C62" s="168" t="s">
        <v>39</v>
      </c>
      <c r="D62" s="168" t="s">
        <v>1535</v>
      </c>
      <c r="E62" s="174"/>
      <c r="F62" s="174"/>
      <c r="G62" s="174"/>
      <c r="H62" s="174"/>
      <c r="I62" s="197"/>
      <c r="J62" s="169"/>
      <c r="K62" s="169"/>
      <c r="M62" s="187"/>
      <c r="N62" s="188"/>
      <c r="O62" s="172" t="s">
        <v>40</v>
      </c>
      <c r="P62" s="172" t="s">
        <v>1536</v>
      </c>
      <c r="Q62" s="172" t="s">
        <v>1515</v>
      </c>
      <c r="R62" s="172" t="s">
        <v>1516</v>
      </c>
      <c r="S62" s="172">
        <v>6</v>
      </c>
      <c r="U62" s="172" t="s">
        <v>40</v>
      </c>
      <c r="V62" s="172" t="s">
        <v>1536</v>
      </c>
      <c r="W62" s="172" t="s">
        <v>1445</v>
      </c>
      <c r="X62" s="172">
        <v>2</v>
      </c>
      <c r="Y62" s="172" t="s">
        <v>1553</v>
      </c>
      <c r="Z62" s="113">
        <v>0</v>
      </c>
      <c r="AA62" s="113">
        <v>0</v>
      </c>
      <c r="AB62" s="113">
        <v>0</v>
      </c>
      <c r="AC62" s="113">
        <v>0</v>
      </c>
      <c r="AD62" s="113">
        <v>253</v>
      </c>
      <c r="AE62" s="113">
        <v>79</v>
      </c>
      <c r="AF62" s="113">
        <v>0</v>
      </c>
      <c r="AG62" s="113">
        <v>0</v>
      </c>
      <c r="AH62" s="113">
        <v>35</v>
      </c>
      <c r="AI62" s="113">
        <v>13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3</v>
      </c>
      <c r="AQ62" s="113">
        <v>0</v>
      </c>
      <c r="AR62" s="113">
        <v>0</v>
      </c>
      <c r="AS62" s="113">
        <v>0</v>
      </c>
      <c r="AT62" s="113">
        <v>277</v>
      </c>
      <c r="AU62" s="113">
        <v>103</v>
      </c>
      <c r="AV62" s="113">
        <v>0</v>
      </c>
      <c r="AW62" s="113">
        <v>0</v>
      </c>
      <c r="AX62" s="113">
        <v>0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113">
        <v>140</v>
      </c>
      <c r="BG62" s="113">
        <v>94</v>
      </c>
      <c r="BH62" s="113">
        <v>0</v>
      </c>
      <c r="BI62" s="113"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72">
        <v>0</v>
      </c>
      <c r="BW62" s="172">
        <v>0</v>
      </c>
      <c r="BX62" s="172">
        <v>0</v>
      </c>
      <c r="BY62" s="168">
        <v>0</v>
      </c>
      <c r="BZ62" s="181">
        <v>0</v>
      </c>
      <c r="CA62" s="181">
        <v>0</v>
      </c>
      <c r="CB62" s="181">
        <v>0</v>
      </c>
      <c r="CC62" s="181">
        <v>0</v>
      </c>
      <c r="CD62" s="181">
        <v>9</v>
      </c>
      <c r="CE62" s="181">
        <v>9</v>
      </c>
      <c r="CF62" s="181">
        <v>0</v>
      </c>
      <c r="CG62" s="181">
        <v>0</v>
      </c>
      <c r="CH62" s="181">
        <v>4</v>
      </c>
      <c r="CI62" s="181">
        <v>4</v>
      </c>
      <c r="CJ62" s="181">
        <v>0</v>
      </c>
      <c r="CK62" s="181">
        <v>0</v>
      </c>
      <c r="CL62" s="181">
        <v>0</v>
      </c>
      <c r="CM62" s="181">
        <v>0</v>
      </c>
      <c r="CN62" s="181">
        <v>0</v>
      </c>
      <c r="CO62" s="181">
        <v>0</v>
      </c>
      <c r="CP62" s="181">
        <v>4</v>
      </c>
      <c r="CQ62" s="181">
        <v>0</v>
      </c>
      <c r="CR62" s="181">
        <v>0</v>
      </c>
      <c r="CS62" s="181">
        <v>0</v>
      </c>
      <c r="CT62" s="181">
        <v>3</v>
      </c>
      <c r="CU62" s="181">
        <v>1</v>
      </c>
      <c r="CV62" s="181">
        <v>0</v>
      </c>
      <c r="CW62" s="181">
        <v>0</v>
      </c>
      <c r="CX62" s="181">
        <v>0</v>
      </c>
      <c r="CY62" s="181">
        <v>0</v>
      </c>
      <c r="CZ62" s="181">
        <v>0</v>
      </c>
      <c r="DA62" s="181">
        <v>0</v>
      </c>
      <c r="DB62" s="181">
        <v>0</v>
      </c>
      <c r="DC62" s="181">
        <v>0</v>
      </c>
      <c r="DD62" s="181">
        <v>0</v>
      </c>
      <c r="DE62" s="181">
        <v>0</v>
      </c>
      <c r="DF62" s="181">
        <v>0</v>
      </c>
      <c r="DG62" s="181">
        <v>0</v>
      </c>
      <c r="DH62" s="181">
        <v>0</v>
      </c>
      <c r="DI62" s="181">
        <v>0</v>
      </c>
      <c r="DJ62" s="181">
        <v>0</v>
      </c>
      <c r="DK62" s="181">
        <v>0</v>
      </c>
      <c r="DL62" s="181">
        <v>0</v>
      </c>
      <c r="DM62" s="181">
        <v>0</v>
      </c>
      <c r="DN62" s="181">
        <v>0</v>
      </c>
      <c r="DO62" s="181">
        <v>0</v>
      </c>
      <c r="DP62" s="181">
        <v>0</v>
      </c>
      <c r="DQ62" s="181">
        <v>0</v>
      </c>
      <c r="DR62" s="181">
        <v>0</v>
      </c>
      <c r="DS62" s="181">
        <v>0</v>
      </c>
      <c r="DT62" s="181">
        <v>0</v>
      </c>
      <c r="DU62" s="181">
        <v>0</v>
      </c>
      <c r="DV62" s="181">
        <v>0</v>
      </c>
      <c r="DW62" s="181">
        <v>0</v>
      </c>
      <c r="DX62" s="181">
        <v>0</v>
      </c>
      <c r="DY62" s="181">
        <v>0</v>
      </c>
    </row>
    <row r="63" spans="1:129" ht="13.5">
      <c r="A63" s="168"/>
      <c r="B63" s="168">
        <v>4</v>
      </c>
      <c r="C63" s="168" t="s">
        <v>40</v>
      </c>
      <c r="D63" s="168" t="s">
        <v>1536</v>
      </c>
      <c r="E63" s="174"/>
      <c r="F63" s="174"/>
      <c r="G63" s="174"/>
      <c r="H63" s="174"/>
      <c r="I63" s="197"/>
      <c r="J63" s="169"/>
      <c r="K63" s="169"/>
      <c r="M63" s="187"/>
      <c r="N63" s="188"/>
      <c r="O63" s="172" t="s">
        <v>40</v>
      </c>
      <c r="P63" s="172" t="s">
        <v>1536</v>
      </c>
      <c r="Q63" s="172" t="s">
        <v>1520</v>
      </c>
      <c r="R63" s="172" t="s">
        <v>1521</v>
      </c>
      <c r="S63" s="172">
        <v>7</v>
      </c>
      <c r="U63" s="172" t="s">
        <v>40</v>
      </c>
      <c r="V63" s="172" t="s">
        <v>1536</v>
      </c>
      <c r="W63" s="172" t="s">
        <v>320</v>
      </c>
      <c r="X63" s="172">
        <v>3</v>
      </c>
      <c r="Y63" s="172" t="s">
        <v>1554</v>
      </c>
      <c r="Z63" s="113">
        <v>0</v>
      </c>
      <c r="AA63" s="113">
        <v>0</v>
      </c>
      <c r="AB63" s="113">
        <v>10</v>
      </c>
      <c r="AC63" s="113">
        <v>27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536</v>
      </c>
      <c r="AU63" s="113">
        <v>515</v>
      </c>
      <c r="AV63" s="113">
        <v>164</v>
      </c>
      <c r="AW63" s="113">
        <v>386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F63" s="113">
        <v>0</v>
      </c>
      <c r="BG63" s="113">
        <v>0</v>
      </c>
      <c r="BH63" s="113">
        <v>0</v>
      </c>
      <c r="BI63" s="113"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2</v>
      </c>
      <c r="BS63" s="113">
        <v>34</v>
      </c>
      <c r="BT63" s="113">
        <v>0</v>
      </c>
      <c r="BU63" s="113">
        <v>0</v>
      </c>
      <c r="BV63" s="172">
        <v>0</v>
      </c>
      <c r="BW63" s="172">
        <v>0</v>
      </c>
      <c r="BX63" s="172">
        <v>51</v>
      </c>
      <c r="BY63" s="168">
        <v>13</v>
      </c>
      <c r="BZ63" s="181">
        <v>0</v>
      </c>
      <c r="CA63" s="181">
        <v>0</v>
      </c>
      <c r="CB63" s="181">
        <v>6</v>
      </c>
      <c r="CC63" s="181">
        <v>6</v>
      </c>
      <c r="CD63" s="181">
        <v>0</v>
      </c>
      <c r="CE63" s="181">
        <v>0</v>
      </c>
      <c r="CF63" s="181">
        <v>0</v>
      </c>
      <c r="CG63" s="181">
        <v>0</v>
      </c>
      <c r="CH63" s="181">
        <v>0</v>
      </c>
      <c r="CI63" s="181">
        <v>0</v>
      </c>
      <c r="CJ63" s="181">
        <v>0</v>
      </c>
      <c r="CK63" s="181">
        <v>0</v>
      </c>
      <c r="CL63" s="181">
        <v>0</v>
      </c>
      <c r="CM63" s="181">
        <v>0</v>
      </c>
      <c r="CN63" s="181">
        <v>0</v>
      </c>
      <c r="CO63" s="181">
        <v>0</v>
      </c>
      <c r="CP63" s="181">
        <v>0</v>
      </c>
      <c r="CQ63" s="181">
        <v>0</v>
      </c>
      <c r="CR63" s="181">
        <v>0</v>
      </c>
      <c r="CS63" s="181">
        <v>0</v>
      </c>
      <c r="CT63" s="181">
        <v>5</v>
      </c>
      <c r="CU63" s="181">
        <v>5</v>
      </c>
      <c r="CV63" s="181">
        <v>5</v>
      </c>
      <c r="CW63" s="181">
        <v>3</v>
      </c>
      <c r="CX63" s="181">
        <v>0</v>
      </c>
      <c r="CY63" s="181">
        <v>0</v>
      </c>
      <c r="CZ63" s="181">
        <v>0</v>
      </c>
      <c r="DA63" s="181">
        <v>0</v>
      </c>
      <c r="DB63" s="181">
        <v>0</v>
      </c>
      <c r="DC63" s="181">
        <v>0</v>
      </c>
      <c r="DD63" s="181">
        <v>0</v>
      </c>
      <c r="DE63" s="181">
        <v>0</v>
      </c>
      <c r="DF63" s="181">
        <v>0</v>
      </c>
      <c r="DG63" s="181">
        <v>0</v>
      </c>
      <c r="DH63" s="181">
        <v>0</v>
      </c>
      <c r="DI63" s="181">
        <v>0</v>
      </c>
      <c r="DJ63" s="181">
        <v>0</v>
      </c>
      <c r="DK63" s="181">
        <v>0</v>
      </c>
      <c r="DL63" s="181">
        <v>0</v>
      </c>
      <c r="DM63" s="181">
        <v>0</v>
      </c>
      <c r="DN63" s="181">
        <v>0</v>
      </c>
      <c r="DO63" s="181">
        <v>0</v>
      </c>
      <c r="DP63" s="181">
        <v>0</v>
      </c>
      <c r="DQ63" s="181">
        <v>0</v>
      </c>
      <c r="DR63" s="181">
        <v>2</v>
      </c>
      <c r="DS63" s="181">
        <v>0</v>
      </c>
      <c r="DT63" s="181">
        <v>0</v>
      </c>
      <c r="DU63" s="181">
        <v>0</v>
      </c>
      <c r="DV63" s="181">
        <v>0</v>
      </c>
      <c r="DW63" s="181">
        <v>0</v>
      </c>
      <c r="DX63" s="181">
        <v>12</v>
      </c>
      <c r="DY63" s="181">
        <v>1</v>
      </c>
    </row>
    <row r="64" spans="1:129" ht="13.5">
      <c r="A64" s="168"/>
      <c r="B64" s="168">
        <v>5</v>
      </c>
      <c r="C64" s="168" t="s">
        <v>34</v>
      </c>
      <c r="D64" s="168" t="s">
        <v>1537</v>
      </c>
      <c r="E64" s="174"/>
      <c r="F64" s="174"/>
      <c r="G64" s="174"/>
      <c r="H64" s="174"/>
      <c r="I64" s="197"/>
      <c r="J64" s="169"/>
      <c r="K64" s="169"/>
      <c r="M64" s="187"/>
      <c r="N64" s="188"/>
      <c r="O64" s="172" t="s">
        <v>40</v>
      </c>
      <c r="P64" s="172" t="s">
        <v>1536</v>
      </c>
      <c r="Q64" s="172" t="s">
        <v>1523</v>
      </c>
      <c r="R64" s="172" t="s">
        <v>1524</v>
      </c>
      <c r="S64" s="172">
        <v>8</v>
      </c>
      <c r="U64" s="172" t="s">
        <v>40</v>
      </c>
      <c r="V64" s="172" t="s">
        <v>1536</v>
      </c>
      <c r="W64" s="172" t="s">
        <v>1487</v>
      </c>
      <c r="X64" s="172">
        <v>4</v>
      </c>
      <c r="Y64" s="172" t="s">
        <v>1555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1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F64" s="113">
        <v>0</v>
      </c>
      <c r="BG64" s="113">
        <v>0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4</v>
      </c>
      <c r="BS64" s="113">
        <v>0</v>
      </c>
      <c r="BT64" s="113">
        <v>0</v>
      </c>
      <c r="BU64" s="113">
        <v>0</v>
      </c>
      <c r="BV64" s="172">
        <v>0</v>
      </c>
      <c r="BW64" s="172">
        <v>0</v>
      </c>
      <c r="BX64" s="172">
        <v>0</v>
      </c>
      <c r="BY64" s="168">
        <v>0</v>
      </c>
      <c r="BZ64" s="181">
        <v>0</v>
      </c>
      <c r="CA64" s="181">
        <v>0</v>
      </c>
      <c r="CB64" s="181">
        <v>0</v>
      </c>
      <c r="CC64" s="181">
        <v>0</v>
      </c>
      <c r="CD64" s="181">
        <v>0</v>
      </c>
      <c r="CE64" s="181">
        <v>0</v>
      </c>
      <c r="CF64" s="181">
        <v>0</v>
      </c>
      <c r="CG64" s="181">
        <v>0</v>
      </c>
      <c r="CH64" s="181">
        <v>0</v>
      </c>
      <c r="CI64" s="181">
        <v>0</v>
      </c>
      <c r="CJ64" s="181">
        <v>0</v>
      </c>
      <c r="CK64" s="181">
        <v>0</v>
      </c>
      <c r="CL64" s="181">
        <v>0</v>
      </c>
      <c r="CM64" s="181">
        <v>0</v>
      </c>
      <c r="CN64" s="181">
        <v>0</v>
      </c>
      <c r="CO64" s="181">
        <v>0</v>
      </c>
      <c r="CP64" s="181">
        <v>0</v>
      </c>
      <c r="CQ64" s="181">
        <v>0</v>
      </c>
      <c r="CR64" s="181">
        <v>0</v>
      </c>
      <c r="CS64" s="181">
        <v>0</v>
      </c>
      <c r="CT64" s="181">
        <v>0</v>
      </c>
      <c r="CU64" s="181">
        <v>0</v>
      </c>
      <c r="CV64" s="181">
        <v>7</v>
      </c>
      <c r="CW64" s="181">
        <v>0</v>
      </c>
      <c r="CX64" s="181">
        <v>0</v>
      </c>
      <c r="CY64" s="181">
        <v>0</v>
      </c>
      <c r="CZ64" s="181">
        <v>0</v>
      </c>
      <c r="DA64" s="181">
        <v>0</v>
      </c>
      <c r="DB64" s="181">
        <v>0</v>
      </c>
      <c r="DC64" s="181">
        <v>0</v>
      </c>
      <c r="DD64" s="181">
        <v>0</v>
      </c>
      <c r="DE64" s="181">
        <v>0</v>
      </c>
      <c r="DF64" s="181">
        <v>0</v>
      </c>
      <c r="DG64" s="181">
        <v>0</v>
      </c>
      <c r="DH64" s="181">
        <v>0</v>
      </c>
      <c r="DI64" s="181">
        <v>0</v>
      </c>
      <c r="DJ64" s="181">
        <v>0</v>
      </c>
      <c r="DK64" s="181">
        <v>0</v>
      </c>
      <c r="DL64" s="181">
        <v>0</v>
      </c>
      <c r="DM64" s="181">
        <v>0</v>
      </c>
      <c r="DN64" s="181">
        <v>0</v>
      </c>
      <c r="DO64" s="181">
        <v>0</v>
      </c>
      <c r="DP64" s="181">
        <v>0</v>
      </c>
      <c r="DQ64" s="181">
        <v>0</v>
      </c>
      <c r="DR64" s="181">
        <v>7</v>
      </c>
      <c r="DS64" s="181">
        <v>0</v>
      </c>
      <c r="DT64" s="181">
        <v>0</v>
      </c>
      <c r="DU64" s="181">
        <v>0</v>
      </c>
      <c r="DV64" s="181">
        <v>0</v>
      </c>
      <c r="DW64" s="181">
        <v>0</v>
      </c>
      <c r="DX64" s="181">
        <v>0</v>
      </c>
      <c r="DY64" s="181">
        <v>0</v>
      </c>
    </row>
    <row r="65" spans="1:130" s="191" customFormat="1" ht="13.5">
      <c r="A65" s="190"/>
      <c r="B65" s="168">
        <v>6</v>
      </c>
      <c r="C65" s="168" t="s">
        <v>36</v>
      </c>
      <c r="D65" s="168" t="s">
        <v>1538</v>
      </c>
      <c r="E65" s="174"/>
      <c r="F65" s="174"/>
      <c r="G65" s="174"/>
      <c r="H65" s="174"/>
      <c r="I65" s="197"/>
      <c r="J65" s="169"/>
      <c r="K65" s="169"/>
      <c r="L65" s="169"/>
      <c r="M65" s="187"/>
      <c r="N65" s="188"/>
      <c r="O65" s="172" t="s">
        <v>36</v>
      </c>
      <c r="P65" s="172" t="s">
        <v>1538</v>
      </c>
      <c r="Q65" s="172" t="s">
        <v>1359</v>
      </c>
      <c r="R65" s="172" t="s">
        <v>1360</v>
      </c>
      <c r="S65" s="172">
        <v>1</v>
      </c>
      <c r="T65" s="189"/>
      <c r="U65" s="172" t="s">
        <v>40</v>
      </c>
      <c r="V65" s="172" t="s">
        <v>1536</v>
      </c>
      <c r="W65" s="172" t="s">
        <v>1500</v>
      </c>
      <c r="X65" s="172">
        <v>5</v>
      </c>
      <c r="Y65" s="172" t="s">
        <v>1556</v>
      </c>
      <c r="Z65" s="113">
        <v>0</v>
      </c>
      <c r="AA65" s="113">
        <v>0</v>
      </c>
      <c r="AB65" s="113">
        <v>77</v>
      </c>
      <c r="AC65" s="113">
        <v>75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F65" s="113">
        <v>0</v>
      </c>
      <c r="BG65" s="113">
        <v>0</v>
      </c>
      <c r="BH65" s="113">
        <v>0</v>
      </c>
      <c r="BI65" s="113"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72">
        <v>0</v>
      </c>
      <c r="BW65" s="172">
        <v>0</v>
      </c>
      <c r="BX65" s="172">
        <v>0</v>
      </c>
      <c r="BY65" s="168">
        <v>0</v>
      </c>
      <c r="BZ65" s="181">
        <v>0</v>
      </c>
      <c r="CA65" s="181">
        <v>0</v>
      </c>
      <c r="CB65" s="181">
        <v>5</v>
      </c>
      <c r="CC65" s="181">
        <v>0</v>
      </c>
      <c r="CD65" s="181">
        <v>0</v>
      </c>
      <c r="CE65" s="181">
        <v>0</v>
      </c>
      <c r="CF65" s="181">
        <v>0</v>
      </c>
      <c r="CG65" s="181">
        <v>0</v>
      </c>
      <c r="CH65" s="181">
        <v>0</v>
      </c>
      <c r="CI65" s="181">
        <v>0</v>
      </c>
      <c r="CJ65" s="181">
        <v>0</v>
      </c>
      <c r="CK65" s="181">
        <v>0</v>
      </c>
      <c r="CL65" s="181">
        <v>0</v>
      </c>
      <c r="CM65" s="181">
        <v>0</v>
      </c>
      <c r="CN65" s="181">
        <v>0</v>
      </c>
      <c r="CO65" s="181">
        <v>0</v>
      </c>
      <c r="CP65" s="181">
        <v>0</v>
      </c>
      <c r="CQ65" s="181">
        <v>0</v>
      </c>
      <c r="CR65" s="181">
        <v>0</v>
      </c>
      <c r="CS65" s="181">
        <v>0</v>
      </c>
      <c r="CT65" s="181">
        <v>0</v>
      </c>
      <c r="CU65" s="181">
        <v>0</v>
      </c>
      <c r="CV65" s="181">
        <v>0</v>
      </c>
      <c r="CW65" s="181">
        <v>0</v>
      </c>
      <c r="CX65" s="181">
        <v>0</v>
      </c>
      <c r="CY65" s="181">
        <v>0</v>
      </c>
      <c r="CZ65" s="181">
        <v>0</v>
      </c>
      <c r="DA65" s="181">
        <v>0</v>
      </c>
      <c r="DB65" s="181">
        <v>0</v>
      </c>
      <c r="DC65" s="181">
        <v>0</v>
      </c>
      <c r="DD65" s="181">
        <v>0</v>
      </c>
      <c r="DE65" s="181">
        <v>0</v>
      </c>
      <c r="DF65" s="181">
        <v>0</v>
      </c>
      <c r="DG65" s="181">
        <v>0</v>
      </c>
      <c r="DH65" s="181">
        <v>0</v>
      </c>
      <c r="DI65" s="181">
        <v>0</v>
      </c>
      <c r="DJ65" s="181">
        <v>0</v>
      </c>
      <c r="DK65" s="181">
        <v>0</v>
      </c>
      <c r="DL65" s="181">
        <v>0</v>
      </c>
      <c r="DM65" s="181">
        <v>0</v>
      </c>
      <c r="DN65" s="181">
        <v>0</v>
      </c>
      <c r="DO65" s="181">
        <v>0</v>
      </c>
      <c r="DP65" s="181">
        <v>0</v>
      </c>
      <c r="DQ65" s="181">
        <v>0</v>
      </c>
      <c r="DR65" s="181">
        <v>0</v>
      </c>
      <c r="DS65" s="181">
        <v>0</v>
      </c>
      <c r="DT65" s="181">
        <v>0</v>
      </c>
      <c r="DU65" s="181">
        <v>0</v>
      </c>
      <c r="DV65" s="181">
        <v>0</v>
      </c>
      <c r="DW65" s="181">
        <v>0</v>
      </c>
      <c r="DX65" s="181">
        <v>0</v>
      </c>
      <c r="DY65" s="181">
        <v>0</v>
      </c>
      <c r="DZ65" s="190"/>
    </row>
    <row r="66" spans="1:129" ht="13.5">
      <c r="A66" s="168"/>
      <c r="B66" s="168">
        <v>7</v>
      </c>
      <c r="C66" s="168" t="s">
        <v>44</v>
      </c>
      <c r="D66" s="168" t="s">
        <v>1539</v>
      </c>
      <c r="E66" s="174"/>
      <c r="F66" s="174"/>
      <c r="G66" s="174"/>
      <c r="H66" s="174"/>
      <c r="I66" s="197"/>
      <c r="J66" s="169"/>
      <c r="K66" s="169"/>
      <c r="M66" s="187"/>
      <c r="N66" s="188"/>
      <c r="O66" s="172" t="s">
        <v>36</v>
      </c>
      <c r="P66" s="172" t="s">
        <v>1538</v>
      </c>
      <c r="Q66" s="172" t="s">
        <v>1479</v>
      </c>
      <c r="R66" s="172" t="s">
        <v>1480</v>
      </c>
      <c r="S66" s="172">
        <v>2</v>
      </c>
      <c r="U66" s="172" t="s">
        <v>40</v>
      </c>
      <c r="V66" s="172" t="s">
        <v>1536</v>
      </c>
      <c r="W66" s="172" t="s">
        <v>1515</v>
      </c>
      <c r="X66" s="172">
        <v>6</v>
      </c>
      <c r="Y66" s="172" t="s">
        <v>1557</v>
      </c>
      <c r="Z66" s="113">
        <v>0</v>
      </c>
      <c r="AA66" s="113">
        <v>0</v>
      </c>
      <c r="AB66" s="113">
        <v>1266</v>
      </c>
      <c r="AC66" s="113">
        <v>178</v>
      </c>
      <c r="AD66" s="113">
        <v>2881</v>
      </c>
      <c r="AE66" s="113">
        <v>431</v>
      </c>
      <c r="AF66" s="113">
        <v>0</v>
      </c>
      <c r="AG66" s="113">
        <v>0</v>
      </c>
      <c r="AH66" s="113">
        <v>80</v>
      </c>
      <c r="AI66" s="113">
        <v>13</v>
      </c>
      <c r="AJ66" s="113">
        <v>1858</v>
      </c>
      <c r="AK66" s="113">
        <v>394</v>
      </c>
      <c r="AL66" s="113">
        <v>3521</v>
      </c>
      <c r="AM66" s="113">
        <v>477</v>
      </c>
      <c r="AN66" s="113">
        <v>0</v>
      </c>
      <c r="AO66" s="113">
        <v>0</v>
      </c>
      <c r="AP66" s="113">
        <v>0</v>
      </c>
      <c r="AQ66" s="113">
        <v>0</v>
      </c>
      <c r="AR66" s="113">
        <v>2419</v>
      </c>
      <c r="AS66" s="113">
        <v>291</v>
      </c>
      <c r="AT66" s="113">
        <v>994</v>
      </c>
      <c r="AU66" s="113">
        <v>156</v>
      </c>
      <c r="AV66" s="113">
        <v>4089</v>
      </c>
      <c r="AW66" s="113">
        <v>421</v>
      </c>
      <c r="AX66" s="113">
        <v>471</v>
      </c>
      <c r="AY66" s="113">
        <v>74</v>
      </c>
      <c r="AZ66" s="113">
        <v>712</v>
      </c>
      <c r="BA66" s="113">
        <v>132</v>
      </c>
      <c r="BB66" s="113">
        <v>0</v>
      </c>
      <c r="BC66" s="113">
        <v>0</v>
      </c>
      <c r="BD66" s="113">
        <v>0</v>
      </c>
      <c r="BE66" s="113">
        <v>0</v>
      </c>
      <c r="BF66" s="113">
        <v>407</v>
      </c>
      <c r="BG66" s="113">
        <v>66</v>
      </c>
      <c r="BH66" s="113">
        <v>1045</v>
      </c>
      <c r="BI66" s="113">
        <v>194</v>
      </c>
      <c r="BJ66" s="113">
        <v>449</v>
      </c>
      <c r="BK66" s="113">
        <v>27</v>
      </c>
      <c r="BL66" s="113">
        <v>83</v>
      </c>
      <c r="BM66" s="113">
        <v>13</v>
      </c>
      <c r="BN66" s="113">
        <v>129</v>
      </c>
      <c r="BO66" s="113">
        <v>12</v>
      </c>
      <c r="BP66" s="113">
        <v>505</v>
      </c>
      <c r="BQ66" s="113">
        <v>67</v>
      </c>
      <c r="BR66" s="113">
        <v>1364</v>
      </c>
      <c r="BS66" s="113">
        <v>295</v>
      </c>
      <c r="BT66" s="113">
        <v>161</v>
      </c>
      <c r="BU66" s="113">
        <v>38</v>
      </c>
      <c r="BV66" s="172">
        <v>0</v>
      </c>
      <c r="BW66" s="172">
        <v>0</v>
      </c>
      <c r="BX66" s="172">
        <v>0</v>
      </c>
      <c r="BY66" s="168">
        <v>0</v>
      </c>
      <c r="BZ66" s="181">
        <v>0</v>
      </c>
      <c r="CA66" s="181">
        <v>0</v>
      </c>
      <c r="CB66" s="181">
        <v>8</v>
      </c>
      <c r="CC66" s="181">
        <v>5</v>
      </c>
      <c r="CD66" s="181">
        <v>0</v>
      </c>
      <c r="CE66" s="181">
        <v>0</v>
      </c>
      <c r="CF66" s="181">
        <v>0</v>
      </c>
      <c r="CG66" s="181">
        <v>0</v>
      </c>
      <c r="CH66" s="181">
        <v>3</v>
      </c>
      <c r="CI66" s="181">
        <v>1</v>
      </c>
      <c r="CJ66" s="181">
        <v>1</v>
      </c>
      <c r="CK66" s="181">
        <v>0</v>
      </c>
      <c r="CL66" s="181">
        <v>8</v>
      </c>
      <c r="CM66" s="181">
        <v>1</v>
      </c>
      <c r="CN66" s="181">
        <v>0</v>
      </c>
      <c r="CO66" s="181">
        <v>0</v>
      </c>
      <c r="CP66" s="181">
        <v>0</v>
      </c>
      <c r="CQ66" s="181">
        <v>0</v>
      </c>
      <c r="CR66" s="181">
        <v>11</v>
      </c>
      <c r="CS66" s="181">
        <v>4</v>
      </c>
      <c r="CT66" s="181">
        <v>12</v>
      </c>
      <c r="CU66" s="181">
        <v>10</v>
      </c>
      <c r="CV66" s="181">
        <v>10</v>
      </c>
      <c r="CW66" s="181">
        <v>2</v>
      </c>
      <c r="CX66" s="181">
        <v>12</v>
      </c>
      <c r="CY66" s="181">
        <v>8</v>
      </c>
      <c r="CZ66" s="181">
        <v>0</v>
      </c>
      <c r="DA66" s="181">
        <v>0</v>
      </c>
      <c r="DB66" s="181">
        <v>0</v>
      </c>
      <c r="DC66" s="181">
        <v>0</v>
      </c>
      <c r="DD66" s="181">
        <v>0</v>
      </c>
      <c r="DE66" s="181">
        <v>0</v>
      </c>
      <c r="DF66" s="181">
        <v>1</v>
      </c>
      <c r="DG66" s="181">
        <v>1</v>
      </c>
      <c r="DH66" s="181">
        <v>7</v>
      </c>
      <c r="DI66" s="181">
        <v>0</v>
      </c>
      <c r="DJ66" s="181">
        <v>11</v>
      </c>
      <c r="DK66" s="181">
        <v>9</v>
      </c>
      <c r="DL66" s="181">
        <v>5</v>
      </c>
      <c r="DM66" s="181">
        <v>2</v>
      </c>
      <c r="DN66" s="181">
        <v>6</v>
      </c>
      <c r="DO66" s="181">
        <v>0</v>
      </c>
      <c r="DP66" s="181">
        <v>12</v>
      </c>
      <c r="DQ66" s="181">
        <v>7</v>
      </c>
      <c r="DR66" s="181">
        <v>0</v>
      </c>
      <c r="DS66" s="181">
        <v>0</v>
      </c>
      <c r="DT66" s="181">
        <v>11</v>
      </c>
      <c r="DU66" s="181">
        <v>2</v>
      </c>
      <c r="DV66" s="181">
        <v>0</v>
      </c>
      <c r="DW66" s="181">
        <v>0</v>
      </c>
      <c r="DX66" s="181">
        <v>0</v>
      </c>
      <c r="DY66" s="181">
        <v>0</v>
      </c>
    </row>
    <row r="67" spans="1:129" ht="13.5">
      <c r="A67" s="168"/>
      <c r="B67" s="168">
        <v>8</v>
      </c>
      <c r="C67" s="168" t="s">
        <v>45</v>
      </c>
      <c r="D67" s="168" t="s">
        <v>1540</v>
      </c>
      <c r="E67" s="174"/>
      <c r="F67" s="174"/>
      <c r="G67" s="174"/>
      <c r="H67" s="174"/>
      <c r="I67" s="197"/>
      <c r="J67" s="169"/>
      <c r="K67" s="169"/>
      <c r="M67" s="187"/>
      <c r="N67" s="188"/>
      <c r="O67" s="172" t="s">
        <v>36</v>
      </c>
      <c r="P67" s="172" t="s">
        <v>1538</v>
      </c>
      <c r="Q67" s="172" t="s">
        <v>1482</v>
      </c>
      <c r="R67" s="172" t="s">
        <v>1483</v>
      </c>
      <c r="S67" s="172">
        <v>3</v>
      </c>
      <c r="U67" s="172" t="s">
        <v>40</v>
      </c>
      <c r="V67" s="172" t="s">
        <v>1536</v>
      </c>
      <c r="W67" s="172" t="s">
        <v>1520</v>
      </c>
      <c r="X67" s="172">
        <v>7</v>
      </c>
      <c r="Y67" s="172" t="s">
        <v>1558</v>
      </c>
      <c r="Z67" s="113">
        <v>0</v>
      </c>
      <c r="AA67" s="113">
        <v>0</v>
      </c>
      <c r="AB67" s="113">
        <v>303</v>
      </c>
      <c r="AC67" s="113">
        <v>79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F67" s="113">
        <v>0</v>
      </c>
      <c r="BG67" s="113">
        <v>0</v>
      </c>
      <c r="BH67" s="113">
        <v>0</v>
      </c>
      <c r="BI67" s="113"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72">
        <v>214</v>
      </c>
      <c r="BW67" s="172">
        <v>29</v>
      </c>
      <c r="BX67" s="172">
        <v>0</v>
      </c>
      <c r="BY67" s="168">
        <v>0</v>
      </c>
      <c r="BZ67" s="181">
        <v>0</v>
      </c>
      <c r="CA67" s="181">
        <v>0</v>
      </c>
      <c r="CB67" s="181">
        <v>3</v>
      </c>
      <c r="CC67" s="181">
        <v>3</v>
      </c>
      <c r="CD67" s="181">
        <v>0</v>
      </c>
      <c r="CE67" s="181">
        <v>0</v>
      </c>
      <c r="CF67" s="181">
        <v>0</v>
      </c>
      <c r="CG67" s="181">
        <v>0</v>
      </c>
      <c r="CH67" s="181">
        <v>0</v>
      </c>
      <c r="CI67" s="181">
        <v>0</v>
      </c>
      <c r="CJ67" s="181">
        <v>0</v>
      </c>
      <c r="CK67" s="181">
        <v>0</v>
      </c>
      <c r="CL67" s="181">
        <v>0</v>
      </c>
      <c r="CM67" s="181">
        <v>0</v>
      </c>
      <c r="CN67" s="181">
        <v>0</v>
      </c>
      <c r="CO67" s="181">
        <v>0</v>
      </c>
      <c r="CP67" s="181">
        <v>0</v>
      </c>
      <c r="CQ67" s="181">
        <v>0</v>
      </c>
      <c r="CR67" s="181">
        <v>0</v>
      </c>
      <c r="CS67" s="181">
        <v>0</v>
      </c>
      <c r="CT67" s="181">
        <v>0</v>
      </c>
      <c r="CU67" s="181">
        <v>0</v>
      </c>
      <c r="CV67" s="181">
        <v>0</v>
      </c>
      <c r="CW67" s="181">
        <v>0</v>
      </c>
      <c r="CX67" s="181">
        <v>0</v>
      </c>
      <c r="CY67" s="181">
        <v>0</v>
      </c>
      <c r="CZ67" s="181">
        <v>0</v>
      </c>
      <c r="DA67" s="181">
        <v>0</v>
      </c>
      <c r="DB67" s="181">
        <v>0</v>
      </c>
      <c r="DC67" s="181">
        <v>0</v>
      </c>
      <c r="DD67" s="181">
        <v>0</v>
      </c>
      <c r="DE67" s="181">
        <v>0</v>
      </c>
      <c r="DF67" s="181">
        <v>0</v>
      </c>
      <c r="DG67" s="181">
        <v>0</v>
      </c>
      <c r="DH67" s="181">
        <v>0</v>
      </c>
      <c r="DI67" s="181">
        <v>0</v>
      </c>
      <c r="DJ67" s="181">
        <v>0</v>
      </c>
      <c r="DK67" s="181">
        <v>0</v>
      </c>
      <c r="DL67" s="181">
        <v>0</v>
      </c>
      <c r="DM67" s="181">
        <v>0</v>
      </c>
      <c r="DN67" s="181">
        <v>0</v>
      </c>
      <c r="DO67" s="181">
        <v>0</v>
      </c>
      <c r="DP67" s="181">
        <v>0</v>
      </c>
      <c r="DQ67" s="181">
        <v>0</v>
      </c>
      <c r="DR67" s="181">
        <v>0</v>
      </c>
      <c r="DS67" s="181">
        <v>0</v>
      </c>
      <c r="DT67" s="181">
        <v>0</v>
      </c>
      <c r="DU67" s="181">
        <v>0</v>
      </c>
      <c r="DV67" s="181">
        <v>7</v>
      </c>
      <c r="DW67" s="181">
        <v>2</v>
      </c>
      <c r="DX67" s="181">
        <v>0</v>
      </c>
      <c r="DY67" s="181">
        <v>0</v>
      </c>
    </row>
    <row r="68" spans="1:129" ht="13.5">
      <c r="A68" s="168"/>
      <c r="B68" s="168">
        <v>9</v>
      </c>
      <c r="C68" s="168" t="s">
        <v>41</v>
      </c>
      <c r="D68" s="168" t="s">
        <v>1541</v>
      </c>
      <c r="E68" s="191"/>
      <c r="F68" s="191"/>
      <c r="G68" s="191"/>
      <c r="H68" s="191"/>
      <c r="I68" s="198"/>
      <c r="J68" s="199"/>
      <c r="K68" s="199"/>
      <c r="L68" s="199"/>
      <c r="M68" s="187"/>
      <c r="N68" s="188"/>
      <c r="O68" s="172" t="s">
        <v>36</v>
      </c>
      <c r="P68" s="172" t="s">
        <v>1538</v>
      </c>
      <c r="Q68" s="172" t="s">
        <v>327</v>
      </c>
      <c r="R68" s="172" t="s">
        <v>328</v>
      </c>
      <c r="S68" s="172">
        <v>4</v>
      </c>
      <c r="U68" s="172" t="s">
        <v>40</v>
      </c>
      <c r="V68" s="172" t="s">
        <v>1536</v>
      </c>
      <c r="W68" s="172" t="s">
        <v>1523</v>
      </c>
      <c r="X68" s="172">
        <v>8</v>
      </c>
      <c r="Y68" s="172" t="s">
        <v>1559</v>
      </c>
      <c r="Z68" s="113">
        <v>0</v>
      </c>
      <c r="AA68" s="113">
        <v>0</v>
      </c>
      <c r="AB68" s="113">
        <v>0</v>
      </c>
      <c r="AC68" s="113">
        <v>0</v>
      </c>
      <c r="AD68" s="113">
        <v>3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17</v>
      </c>
      <c r="AK68" s="113">
        <v>7</v>
      </c>
      <c r="AL68" s="113">
        <v>0</v>
      </c>
      <c r="AM68" s="113">
        <v>0</v>
      </c>
      <c r="AN68" s="113">
        <v>40</v>
      </c>
      <c r="AO68" s="113">
        <v>13</v>
      </c>
      <c r="AP68" s="113">
        <v>0</v>
      </c>
      <c r="AQ68" s="113">
        <v>0</v>
      </c>
      <c r="AR68" s="113">
        <v>27</v>
      </c>
      <c r="AS68" s="113">
        <v>23</v>
      </c>
      <c r="AT68" s="113">
        <v>0</v>
      </c>
      <c r="AU68" s="113">
        <v>0</v>
      </c>
      <c r="AV68" s="113">
        <v>0</v>
      </c>
      <c r="AW68" s="113">
        <v>0</v>
      </c>
      <c r="AX68" s="113">
        <v>9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F68" s="113">
        <v>0</v>
      </c>
      <c r="BG68" s="113">
        <v>0</v>
      </c>
      <c r="BH68" s="113">
        <v>9</v>
      </c>
      <c r="BI68" s="113">
        <v>3</v>
      </c>
      <c r="BJ68" s="113">
        <v>0</v>
      </c>
      <c r="BK68" s="113">
        <v>0</v>
      </c>
      <c r="BL68" s="113">
        <v>15</v>
      </c>
      <c r="BM68" s="113">
        <v>8</v>
      </c>
      <c r="BN68" s="113">
        <v>0</v>
      </c>
      <c r="BO68" s="113">
        <v>0</v>
      </c>
      <c r="BP68" s="113">
        <v>8</v>
      </c>
      <c r="BQ68" s="113">
        <v>7</v>
      </c>
      <c r="BR68" s="113">
        <v>9</v>
      </c>
      <c r="BS68" s="113">
        <v>8</v>
      </c>
      <c r="BT68" s="113">
        <v>0</v>
      </c>
      <c r="BU68" s="113">
        <v>0</v>
      </c>
      <c r="BV68" s="172">
        <v>0</v>
      </c>
      <c r="BW68" s="172">
        <v>0</v>
      </c>
      <c r="BX68" s="172">
        <v>0</v>
      </c>
      <c r="BY68" s="168">
        <v>0</v>
      </c>
      <c r="BZ68" s="181">
        <v>0</v>
      </c>
      <c r="CA68" s="181">
        <v>0</v>
      </c>
      <c r="CB68" s="181">
        <v>0</v>
      </c>
      <c r="CC68" s="181">
        <v>0</v>
      </c>
      <c r="CD68" s="181">
        <v>0</v>
      </c>
      <c r="CE68" s="181">
        <v>0</v>
      </c>
      <c r="CF68" s="181">
        <v>0</v>
      </c>
      <c r="CG68" s="181">
        <v>0</v>
      </c>
      <c r="CH68" s="181">
        <v>0</v>
      </c>
      <c r="CI68" s="181">
        <v>0</v>
      </c>
      <c r="CJ68" s="181">
        <v>6</v>
      </c>
      <c r="CK68" s="181">
        <v>1</v>
      </c>
      <c r="CL68" s="181">
        <v>0</v>
      </c>
      <c r="CM68" s="181">
        <v>0</v>
      </c>
      <c r="CN68" s="181">
        <v>2</v>
      </c>
      <c r="CO68" s="181">
        <v>2</v>
      </c>
      <c r="CP68" s="181">
        <v>0</v>
      </c>
      <c r="CQ68" s="181">
        <v>0</v>
      </c>
      <c r="CR68" s="181">
        <v>8</v>
      </c>
      <c r="CS68" s="181">
        <v>8</v>
      </c>
      <c r="CT68" s="181">
        <v>0</v>
      </c>
      <c r="CU68" s="181">
        <v>0</v>
      </c>
      <c r="CV68" s="181">
        <v>0</v>
      </c>
      <c r="CW68" s="181">
        <v>0</v>
      </c>
      <c r="CX68" s="181">
        <v>1</v>
      </c>
      <c r="CY68" s="181">
        <v>0</v>
      </c>
      <c r="CZ68" s="181">
        <v>0</v>
      </c>
      <c r="DA68" s="181">
        <v>0</v>
      </c>
      <c r="DB68" s="181">
        <v>0</v>
      </c>
      <c r="DC68" s="181">
        <v>0</v>
      </c>
      <c r="DD68" s="181">
        <v>0</v>
      </c>
      <c r="DE68" s="181">
        <v>0</v>
      </c>
      <c r="DF68" s="181">
        <v>0</v>
      </c>
      <c r="DG68" s="181">
        <v>0</v>
      </c>
      <c r="DH68" s="181">
        <v>8</v>
      </c>
      <c r="DI68" s="181">
        <v>3</v>
      </c>
      <c r="DJ68" s="181">
        <v>0</v>
      </c>
      <c r="DK68" s="181">
        <v>0</v>
      </c>
      <c r="DL68" s="181">
        <v>3</v>
      </c>
      <c r="DM68" s="181">
        <v>3</v>
      </c>
      <c r="DN68" s="181">
        <v>0</v>
      </c>
      <c r="DO68" s="181">
        <v>0</v>
      </c>
      <c r="DP68" s="181">
        <v>11</v>
      </c>
      <c r="DQ68" s="181">
        <v>10</v>
      </c>
      <c r="DR68" s="181">
        <v>0</v>
      </c>
      <c r="DS68" s="181">
        <v>0</v>
      </c>
      <c r="DT68" s="181">
        <v>0</v>
      </c>
      <c r="DU68" s="181">
        <v>0</v>
      </c>
      <c r="DV68" s="181">
        <v>0</v>
      </c>
      <c r="DW68" s="181">
        <v>0</v>
      </c>
      <c r="DX68" s="181">
        <v>0</v>
      </c>
      <c r="DY68" s="181">
        <v>0</v>
      </c>
    </row>
    <row r="69" spans="1:129" ht="13.5">
      <c r="A69" s="168"/>
      <c r="B69" s="168">
        <v>10</v>
      </c>
      <c r="C69" s="168" t="s">
        <v>42</v>
      </c>
      <c r="D69" s="168" t="s">
        <v>1542</v>
      </c>
      <c r="E69" s="174"/>
      <c r="F69" s="174"/>
      <c r="G69" s="174"/>
      <c r="H69" s="174"/>
      <c r="I69" s="197"/>
      <c r="J69" s="169"/>
      <c r="K69" s="169"/>
      <c r="M69" s="187"/>
      <c r="N69" s="188"/>
      <c r="O69" s="172" t="s">
        <v>44</v>
      </c>
      <c r="P69" s="172" t="s">
        <v>1539</v>
      </c>
      <c r="Q69" s="172" t="s">
        <v>1417</v>
      </c>
      <c r="R69" s="172" t="s">
        <v>1418</v>
      </c>
      <c r="S69" s="172">
        <v>1</v>
      </c>
      <c r="U69" s="172" t="s">
        <v>36</v>
      </c>
      <c r="V69" s="172" t="s">
        <v>1538</v>
      </c>
      <c r="W69" s="172" t="s">
        <v>1359</v>
      </c>
      <c r="X69" s="172">
        <v>1</v>
      </c>
      <c r="Y69" s="172" t="s">
        <v>1561</v>
      </c>
      <c r="Z69" s="113">
        <v>0</v>
      </c>
      <c r="AA69" s="113">
        <v>0</v>
      </c>
      <c r="AB69" s="113">
        <v>47</v>
      </c>
      <c r="AC69" s="113">
        <v>58</v>
      </c>
      <c r="AD69" s="113">
        <v>67</v>
      </c>
      <c r="AE69" s="113">
        <v>49</v>
      </c>
      <c r="AF69" s="113">
        <v>0</v>
      </c>
      <c r="AG69" s="113">
        <v>0</v>
      </c>
      <c r="AH69" s="113">
        <v>0</v>
      </c>
      <c r="AI69" s="113">
        <v>0</v>
      </c>
      <c r="AJ69" s="113">
        <v>50</v>
      </c>
      <c r="AK69" s="113">
        <v>20</v>
      </c>
      <c r="AL69" s="113">
        <v>71</v>
      </c>
      <c r="AM69" s="113">
        <v>38</v>
      </c>
      <c r="AN69" s="113">
        <v>0</v>
      </c>
      <c r="AO69" s="113">
        <v>0</v>
      </c>
      <c r="AP69" s="113">
        <v>38</v>
      </c>
      <c r="AQ69" s="113">
        <v>50</v>
      </c>
      <c r="AR69" s="113">
        <v>252</v>
      </c>
      <c r="AS69" s="113">
        <v>219</v>
      </c>
      <c r="AT69" s="113">
        <v>138</v>
      </c>
      <c r="AU69" s="113">
        <v>107</v>
      </c>
      <c r="AV69" s="113">
        <v>251</v>
      </c>
      <c r="AW69" s="113">
        <v>164</v>
      </c>
      <c r="AX69" s="113">
        <v>33</v>
      </c>
      <c r="AY69" s="113">
        <v>9</v>
      </c>
      <c r="AZ69" s="113">
        <v>31</v>
      </c>
      <c r="BA69" s="113">
        <v>17</v>
      </c>
      <c r="BB69" s="113">
        <v>0</v>
      </c>
      <c r="BC69" s="113">
        <v>0</v>
      </c>
      <c r="BD69" s="113">
        <v>0</v>
      </c>
      <c r="BE69" s="113">
        <v>0</v>
      </c>
      <c r="BF69" s="113">
        <v>0</v>
      </c>
      <c r="BG69" s="113">
        <v>0</v>
      </c>
      <c r="BH69" s="113">
        <v>195</v>
      </c>
      <c r="BI69" s="113">
        <v>131</v>
      </c>
      <c r="BJ69" s="113">
        <v>57</v>
      </c>
      <c r="BK69" s="113">
        <v>24</v>
      </c>
      <c r="BL69" s="113">
        <v>0</v>
      </c>
      <c r="BM69" s="113">
        <v>0</v>
      </c>
      <c r="BN69" s="113">
        <v>6</v>
      </c>
      <c r="BO69" s="113">
        <v>7</v>
      </c>
      <c r="BP69" s="113">
        <v>108</v>
      </c>
      <c r="BQ69" s="113">
        <v>79</v>
      </c>
      <c r="BR69" s="113">
        <v>47</v>
      </c>
      <c r="BS69" s="113">
        <v>23</v>
      </c>
      <c r="BT69" s="113">
        <v>125</v>
      </c>
      <c r="BU69" s="113">
        <v>123</v>
      </c>
      <c r="BV69" s="172">
        <v>0</v>
      </c>
      <c r="BW69" s="172">
        <v>0</v>
      </c>
      <c r="BX69" s="172">
        <v>0</v>
      </c>
      <c r="BY69" s="168">
        <v>0</v>
      </c>
      <c r="BZ69" s="181">
        <v>0</v>
      </c>
      <c r="CA69" s="181">
        <v>0</v>
      </c>
      <c r="CB69" s="181">
        <v>10</v>
      </c>
      <c r="CC69" s="181">
        <v>8</v>
      </c>
      <c r="CD69" s="181">
        <v>11</v>
      </c>
      <c r="CE69" s="181">
        <v>10</v>
      </c>
      <c r="CF69" s="181">
        <v>0</v>
      </c>
      <c r="CG69" s="181">
        <v>0</v>
      </c>
      <c r="CH69" s="181">
        <v>0</v>
      </c>
      <c r="CI69" s="181">
        <v>0</v>
      </c>
      <c r="CJ69" s="181">
        <v>5</v>
      </c>
      <c r="CK69" s="181">
        <v>1</v>
      </c>
      <c r="CL69" s="181">
        <v>7</v>
      </c>
      <c r="CM69" s="181">
        <v>7</v>
      </c>
      <c r="CN69" s="181">
        <v>0</v>
      </c>
      <c r="CO69" s="181">
        <v>0</v>
      </c>
      <c r="CP69" s="181">
        <v>11</v>
      </c>
      <c r="CQ69" s="181">
        <v>6</v>
      </c>
      <c r="CR69" s="181">
        <v>6</v>
      </c>
      <c r="CS69" s="181">
        <v>5</v>
      </c>
      <c r="CT69" s="181">
        <v>5</v>
      </c>
      <c r="CU69" s="181">
        <v>5</v>
      </c>
      <c r="CV69" s="181">
        <v>6</v>
      </c>
      <c r="CW69" s="181">
        <v>1</v>
      </c>
      <c r="CX69" s="181">
        <v>3</v>
      </c>
      <c r="CY69" s="181">
        <v>3</v>
      </c>
      <c r="CZ69" s="181">
        <v>1</v>
      </c>
      <c r="DA69" s="181">
        <v>1</v>
      </c>
      <c r="DB69" s="181">
        <v>0</v>
      </c>
      <c r="DC69" s="181">
        <v>0</v>
      </c>
      <c r="DD69" s="181">
        <v>0</v>
      </c>
      <c r="DE69" s="181">
        <v>0</v>
      </c>
      <c r="DF69" s="181">
        <v>0</v>
      </c>
      <c r="DG69" s="181">
        <v>0</v>
      </c>
      <c r="DH69" s="181">
        <v>12</v>
      </c>
      <c r="DI69" s="181">
        <v>9</v>
      </c>
      <c r="DJ69" s="181">
        <v>1</v>
      </c>
      <c r="DK69" s="181">
        <v>0</v>
      </c>
      <c r="DL69" s="181">
        <v>0</v>
      </c>
      <c r="DM69" s="181">
        <v>0</v>
      </c>
      <c r="DN69" s="181">
        <v>3</v>
      </c>
      <c r="DO69" s="181">
        <v>2</v>
      </c>
      <c r="DP69" s="181">
        <v>10</v>
      </c>
      <c r="DQ69" s="181">
        <v>2</v>
      </c>
      <c r="DR69" s="181">
        <v>4</v>
      </c>
      <c r="DS69" s="181">
        <v>3</v>
      </c>
      <c r="DT69" s="181">
        <v>2</v>
      </c>
      <c r="DU69" s="181">
        <v>1</v>
      </c>
      <c r="DV69" s="181">
        <v>0</v>
      </c>
      <c r="DW69" s="181">
        <v>0</v>
      </c>
      <c r="DX69" s="181">
        <v>0</v>
      </c>
      <c r="DY69" s="181">
        <v>0</v>
      </c>
    </row>
    <row r="70" spans="1:129" ht="13.5">
      <c r="A70" s="168"/>
      <c r="B70" s="168">
        <v>11</v>
      </c>
      <c r="C70" s="168" t="s">
        <v>43</v>
      </c>
      <c r="D70" s="168" t="s">
        <v>1543</v>
      </c>
      <c r="E70" s="174"/>
      <c r="F70" s="174"/>
      <c r="G70" s="174"/>
      <c r="H70" s="174"/>
      <c r="I70" s="197"/>
      <c r="J70" s="169"/>
      <c r="K70" s="169"/>
      <c r="M70" s="187"/>
      <c r="N70" s="188"/>
      <c r="O70" s="172" t="s">
        <v>45</v>
      </c>
      <c r="P70" s="172" t="s">
        <v>1540</v>
      </c>
      <c r="Q70" s="172" t="s">
        <v>1355</v>
      </c>
      <c r="R70" s="172" t="s">
        <v>1356</v>
      </c>
      <c r="S70" s="172">
        <v>1</v>
      </c>
      <c r="U70" s="172" t="s">
        <v>36</v>
      </c>
      <c r="V70" s="172" t="s">
        <v>1538</v>
      </c>
      <c r="W70" s="172" t="s">
        <v>1479</v>
      </c>
      <c r="X70" s="172">
        <v>2</v>
      </c>
      <c r="Y70" s="172" t="s">
        <v>1562</v>
      </c>
      <c r="Z70" s="113">
        <v>0</v>
      </c>
      <c r="AA70" s="113">
        <v>0</v>
      </c>
      <c r="AB70" s="113">
        <v>0</v>
      </c>
      <c r="AC70" s="113">
        <v>0</v>
      </c>
      <c r="AD70" s="113">
        <v>42</v>
      </c>
      <c r="AE70" s="113">
        <v>48</v>
      </c>
      <c r="AF70" s="113">
        <v>0</v>
      </c>
      <c r="AG70" s="113">
        <v>0</v>
      </c>
      <c r="AH70" s="113">
        <v>5</v>
      </c>
      <c r="AI70" s="113">
        <v>5</v>
      </c>
      <c r="AJ70" s="113">
        <v>97</v>
      </c>
      <c r="AK70" s="113">
        <v>50</v>
      </c>
      <c r="AL70" s="113">
        <v>120</v>
      </c>
      <c r="AM70" s="113">
        <v>85</v>
      </c>
      <c r="AN70" s="113">
        <v>0</v>
      </c>
      <c r="AO70" s="113">
        <v>0</v>
      </c>
      <c r="AP70" s="113">
        <v>0</v>
      </c>
      <c r="AQ70" s="113">
        <v>8</v>
      </c>
      <c r="AR70" s="113">
        <v>174</v>
      </c>
      <c r="AS70" s="113">
        <v>140</v>
      </c>
      <c r="AT70" s="113">
        <v>64</v>
      </c>
      <c r="AU70" s="113">
        <v>53</v>
      </c>
      <c r="AV70" s="113">
        <v>205</v>
      </c>
      <c r="AW70" s="113">
        <v>160</v>
      </c>
      <c r="AX70" s="113">
        <v>15</v>
      </c>
      <c r="AY70" s="113">
        <v>16</v>
      </c>
      <c r="AZ70" s="113">
        <v>25</v>
      </c>
      <c r="BA70" s="113">
        <v>19</v>
      </c>
      <c r="BB70" s="113">
        <v>0</v>
      </c>
      <c r="BC70" s="113">
        <v>0</v>
      </c>
      <c r="BD70" s="113">
        <v>0</v>
      </c>
      <c r="BE70" s="113">
        <v>0</v>
      </c>
      <c r="BF70" s="113">
        <v>1</v>
      </c>
      <c r="BG70" s="113">
        <v>2</v>
      </c>
      <c r="BH70" s="113">
        <v>908</v>
      </c>
      <c r="BI70" s="113">
        <v>262</v>
      </c>
      <c r="BJ70" s="113">
        <v>59</v>
      </c>
      <c r="BK70" s="113">
        <v>25</v>
      </c>
      <c r="BL70" s="113">
        <v>6</v>
      </c>
      <c r="BM70" s="113">
        <v>15</v>
      </c>
      <c r="BN70" s="113">
        <v>52</v>
      </c>
      <c r="BO70" s="113">
        <v>52</v>
      </c>
      <c r="BP70" s="113">
        <v>1</v>
      </c>
      <c r="BQ70" s="113">
        <v>0</v>
      </c>
      <c r="BR70" s="113">
        <v>103</v>
      </c>
      <c r="BS70" s="113">
        <v>42</v>
      </c>
      <c r="BT70" s="113">
        <v>0</v>
      </c>
      <c r="BU70" s="113">
        <v>0</v>
      </c>
      <c r="BV70" s="172">
        <v>98</v>
      </c>
      <c r="BW70" s="172">
        <v>87</v>
      </c>
      <c r="BX70" s="172">
        <v>40</v>
      </c>
      <c r="BY70" s="168">
        <v>18</v>
      </c>
      <c r="BZ70" s="181">
        <v>0</v>
      </c>
      <c r="CA70" s="181">
        <v>0</v>
      </c>
      <c r="CB70" s="181">
        <v>0</v>
      </c>
      <c r="CC70" s="181">
        <v>0</v>
      </c>
      <c r="CD70" s="181">
        <v>3</v>
      </c>
      <c r="CE70" s="181">
        <v>1</v>
      </c>
      <c r="CF70" s="181">
        <v>0</v>
      </c>
      <c r="CG70" s="181">
        <v>0</v>
      </c>
      <c r="CH70" s="181">
        <v>7</v>
      </c>
      <c r="CI70" s="181">
        <v>0</v>
      </c>
      <c r="CJ70" s="181">
        <v>3</v>
      </c>
      <c r="CK70" s="181">
        <v>0</v>
      </c>
      <c r="CL70" s="181">
        <v>2</v>
      </c>
      <c r="CM70" s="181">
        <v>2</v>
      </c>
      <c r="CN70" s="181">
        <v>0</v>
      </c>
      <c r="CO70" s="181">
        <v>0</v>
      </c>
      <c r="CP70" s="181">
        <v>0</v>
      </c>
      <c r="CQ70" s="181">
        <v>0</v>
      </c>
      <c r="CR70" s="181">
        <v>0</v>
      </c>
      <c r="CS70" s="181">
        <v>0</v>
      </c>
      <c r="CT70" s="181">
        <v>2</v>
      </c>
      <c r="CU70" s="181">
        <v>0</v>
      </c>
      <c r="CV70" s="181">
        <v>1</v>
      </c>
      <c r="CW70" s="181">
        <v>1</v>
      </c>
      <c r="CX70" s="181">
        <v>4</v>
      </c>
      <c r="CY70" s="181">
        <v>0</v>
      </c>
      <c r="CZ70" s="181">
        <v>9</v>
      </c>
      <c r="DA70" s="181">
        <v>5</v>
      </c>
      <c r="DB70" s="181">
        <v>0</v>
      </c>
      <c r="DC70" s="181">
        <v>0</v>
      </c>
      <c r="DD70" s="181">
        <v>0</v>
      </c>
      <c r="DE70" s="181">
        <v>0</v>
      </c>
      <c r="DF70" s="181">
        <v>10</v>
      </c>
      <c r="DG70" s="181">
        <v>5</v>
      </c>
      <c r="DH70" s="181">
        <v>3</v>
      </c>
      <c r="DI70" s="181">
        <v>1</v>
      </c>
      <c r="DJ70" s="181">
        <v>5</v>
      </c>
      <c r="DK70" s="181">
        <v>2</v>
      </c>
      <c r="DL70" s="181">
        <v>8</v>
      </c>
      <c r="DM70" s="181">
        <v>6</v>
      </c>
      <c r="DN70" s="181">
        <v>5</v>
      </c>
      <c r="DO70" s="181">
        <v>3</v>
      </c>
      <c r="DP70" s="181">
        <v>2</v>
      </c>
      <c r="DQ70" s="181">
        <v>0</v>
      </c>
      <c r="DR70" s="181">
        <v>5</v>
      </c>
      <c r="DS70" s="181">
        <v>1</v>
      </c>
      <c r="DT70" s="181">
        <v>0</v>
      </c>
      <c r="DU70" s="181">
        <v>0</v>
      </c>
      <c r="DV70" s="181">
        <v>2</v>
      </c>
      <c r="DW70" s="181">
        <v>1</v>
      </c>
      <c r="DX70" s="181">
        <v>2</v>
      </c>
      <c r="DY70" s="181">
        <v>2</v>
      </c>
    </row>
    <row r="71" spans="1:129" ht="13.5">
      <c r="A71" s="168"/>
      <c r="B71" s="168">
        <v>12</v>
      </c>
      <c r="C71" s="168" t="s">
        <v>38</v>
      </c>
      <c r="D71" s="168" t="s">
        <v>1544</v>
      </c>
      <c r="E71" s="174"/>
      <c r="F71" s="174"/>
      <c r="G71" s="174"/>
      <c r="H71" s="174"/>
      <c r="I71" s="197"/>
      <c r="J71" s="169"/>
      <c r="K71" s="169"/>
      <c r="M71" s="187"/>
      <c r="N71" s="188"/>
      <c r="O71" s="172" t="s">
        <v>45</v>
      </c>
      <c r="P71" s="172" t="s">
        <v>1540</v>
      </c>
      <c r="Q71" s="172" t="s">
        <v>318</v>
      </c>
      <c r="R71" s="172" t="s">
        <v>319</v>
      </c>
      <c r="S71" s="172">
        <v>2</v>
      </c>
      <c r="U71" s="172" t="s">
        <v>36</v>
      </c>
      <c r="V71" s="172" t="s">
        <v>1538</v>
      </c>
      <c r="W71" s="172" t="s">
        <v>1482</v>
      </c>
      <c r="X71" s="172">
        <v>3</v>
      </c>
      <c r="Y71" s="172" t="s">
        <v>1563</v>
      </c>
      <c r="Z71" s="113">
        <v>0</v>
      </c>
      <c r="AA71" s="113">
        <v>0</v>
      </c>
      <c r="AB71" s="113">
        <v>7</v>
      </c>
      <c r="AC71" s="113">
        <v>3</v>
      </c>
      <c r="AD71" s="113">
        <v>1227</v>
      </c>
      <c r="AE71" s="113">
        <v>296</v>
      </c>
      <c r="AF71" s="113">
        <v>0</v>
      </c>
      <c r="AG71" s="113">
        <v>0</v>
      </c>
      <c r="AH71" s="113">
        <v>0</v>
      </c>
      <c r="AI71" s="113">
        <v>0</v>
      </c>
      <c r="AJ71" s="113">
        <v>642</v>
      </c>
      <c r="AK71" s="113">
        <v>162</v>
      </c>
      <c r="AL71" s="113">
        <v>541</v>
      </c>
      <c r="AM71" s="113">
        <v>199</v>
      </c>
      <c r="AN71" s="113">
        <v>53</v>
      </c>
      <c r="AO71" s="113">
        <v>27</v>
      </c>
      <c r="AP71" s="113">
        <v>149</v>
      </c>
      <c r="AQ71" s="113">
        <v>51</v>
      </c>
      <c r="AR71" s="113">
        <v>244</v>
      </c>
      <c r="AS71" s="113">
        <v>64</v>
      </c>
      <c r="AT71" s="113">
        <v>235</v>
      </c>
      <c r="AU71" s="113">
        <v>46</v>
      </c>
      <c r="AV71" s="113">
        <v>821</v>
      </c>
      <c r="AW71" s="113">
        <v>228</v>
      </c>
      <c r="AX71" s="113">
        <v>168</v>
      </c>
      <c r="AY71" s="113">
        <v>50</v>
      </c>
      <c r="AZ71" s="113">
        <v>104</v>
      </c>
      <c r="BA71" s="113">
        <v>39</v>
      </c>
      <c r="BB71" s="113">
        <v>0</v>
      </c>
      <c r="BC71" s="113">
        <v>0</v>
      </c>
      <c r="BD71" s="113">
        <v>0</v>
      </c>
      <c r="BE71" s="113">
        <v>0</v>
      </c>
      <c r="BF71" s="113">
        <v>41</v>
      </c>
      <c r="BG71" s="113">
        <v>0</v>
      </c>
      <c r="BH71" s="113">
        <v>1126</v>
      </c>
      <c r="BI71" s="113">
        <v>327</v>
      </c>
      <c r="BJ71" s="113">
        <v>0</v>
      </c>
      <c r="BK71" s="113">
        <v>0</v>
      </c>
      <c r="BL71" s="113">
        <v>264</v>
      </c>
      <c r="BM71" s="113">
        <v>45</v>
      </c>
      <c r="BN71" s="113">
        <v>303</v>
      </c>
      <c r="BO71" s="113">
        <v>55</v>
      </c>
      <c r="BP71" s="113">
        <v>35</v>
      </c>
      <c r="BQ71" s="113">
        <v>5</v>
      </c>
      <c r="BR71" s="113">
        <v>338</v>
      </c>
      <c r="BS71" s="113">
        <v>73</v>
      </c>
      <c r="BT71" s="113">
        <v>36</v>
      </c>
      <c r="BU71" s="113">
        <v>16</v>
      </c>
      <c r="BV71" s="172">
        <v>21</v>
      </c>
      <c r="BW71" s="172">
        <v>32</v>
      </c>
      <c r="BX71" s="172">
        <v>0</v>
      </c>
      <c r="BY71" s="168">
        <v>0</v>
      </c>
      <c r="BZ71" s="181">
        <v>0</v>
      </c>
      <c r="CA71" s="181">
        <v>0</v>
      </c>
      <c r="CB71" s="181">
        <v>11</v>
      </c>
      <c r="CC71" s="181">
        <v>3</v>
      </c>
      <c r="CD71" s="181">
        <v>2</v>
      </c>
      <c r="CE71" s="181">
        <v>1</v>
      </c>
      <c r="CF71" s="181">
        <v>0</v>
      </c>
      <c r="CG71" s="181">
        <v>0</v>
      </c>
      <c r="CH71" s="181">
        <v>0</v>
      </c>
      <c r="CI71" s="181">
        <v>0</v>
      </c>
      <c r="CJ71" s="181">
        <v>5</v>
      </c>
      <c r="CK71" s="181">
        <v>3</v>
      </c>
      <c r="CL71" s="181">
        <v>7</v>
      </c>
      <c r="CM71" s="181">
        <v>5</v>
      </c>
      <c r="CN71" s="181">
        <v>6</v>
      </c>
      <c r="CO71" s="181">
        <v>2</v>
      </c>
      <c r="CP71" s="181">
        <v>0</v>
      </c>
      <c r="CQ71" s="181">
        <v>0</v>
      </c>
      <c r="CR71" s="181">
        <v>4</v>
      </c>
      <c r="CS71" s="181">
        <v>2</v>
      </c>
      <c r="CT71" s="181">
        <v>0</v>
      </c>
      <c r="CU71" s="181">
        <v>0</v>
      </c>
      <c r="CV71" s="181">
        <v>4</v>
      </c>
      <c r="CW71" s="181">
        <v>1</v>
      </c>
      <c r="CX71" s="181">
        <v>0</v>
      </c>
      <c r="CY71" s="181">
        <v>0</v>
      </c>
      <c r="CZ71" s="181">
        <v>9</v>
      </c>
      <c r="DA71" s="181">
        <v>0</v>
      </c>
      <c r="DB71" s="181">
        <v>0</v>
      </c>
      <c r="DC71" s="181">
        <v>0</v>
      </c>
      <c r="DD71" s="181">
        <v>0</v>
      </c>
      <c r="DE71" s="181">
        <v>0</v>
      </c>
      <c r="DF71" s="181">
        <v>9</v>
      </c>
      <c r="DG71" s="181">
        <v>0</v>
      </c>
      <c r="DH71" s="181">
        <v>9</v>
      </c>
      <c r="DI71" s="181">
        <v>7</v>
      </c>
      <c r="DJ71" s="181">
        <v>0</v>
      </c>
      <c r="DK71" s="181">
        <v>0</v>
      </c>
      <c r="DL71" s="181">
        <v>4</v>
      </c>
      <c r="DM71" s="181">
        <v>2</v>
      </c>
      <c r="DN71" s="181">
        <v>0</v>
      </c>
      <c r="DO71" s="181">
        <v>0</v>
      </c>
      <c r="DP71" s="181">
        <v>12</v>
      </c>
      <c r="DQ71" s="181">
        <v>10</v>
      </c>
      <c r="DR71" s="181">
        <v>1</v>
      </c>
      <c r="DS71" s="181">
        <v>1</v>
      </c>
      <c r="DT71" s="181">
        <v>12</v>
      </c>
      <c r="DU71" s="181">
        <v>8</v>
      </c>
      <c r="DV71" s="181">
        <v>2</v>
      </c>
      <c r="DW71" s="181">
        <v>0</v>
      </c>
      <c r="DX71" s="181">
        <v>0</v>
      </c>
      <c r="DY71" s="181">
        <v>0</v>
      </c>
    </row>
    <row r="72" spans="1:129" ht="13.5">
      <c r="A72" s="168"/>
      <c r="B72" s="168">
        <v>13</v>
      </c>
      <c r="C72" s="168" t="s">
        <v>35</v>
      </c>
      <c r="D72" s="168" t="s">
        <v>1545</v>
      </c>
      <c r="E72" s="174"/>
      <c r="F72" s="174"/>
      <c r="G72" s="174"/>
      <c r="H72" s="174"/>
      <c r="I72" s="197"/>
      <c r="J72" s="169"/>
      <c r="K72" s="169"/>
      <c r="M72" s="187"/>
      <c r="N72" s="188"/>
      <c r="O72" s="172" t="s">
        <v>41</v>
      </c>
      <c r="P72" s="172" t="s">
        <v>1541</v>
      </c>
      <c r="Q72" s="172" t="s">
        <v>1423</v>
      </c>
      <c r="R72" s="172" t="s">
        <v>1424</v>
      </c>
      <c r="S72" s="172">
        <v>1</v>
      </c>
      <c r="U72" s="172" t="s">
        <v>36</v>
      </c>
      <c r="V72" s="172" t="s">
        <v>1538</v>
      </c>
      <c r="W72" s="172" t="s">
        <v>327</v>
      </c>
      <c r="X72" s="172">
        <v>4</v>
      </c>
      <c r="Y72" s="172" t="s">
        <v>1564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357</v>
      </c>
      <c r="AG72" s="113">
        <v>161</v>
      </c>
      <c r="AH72" s="113">
        <v>0</v>
      </c>
      <c r="AI72" s="113">
        <v>0</v>
      </c>
      <c r="AJ72" s="113">
        <v>0</v>
      </c>
      <c r="AK72" s="113">
        <v>0</v>
      </c>
      <c r="AL72" s="113">
        <v>0</v>
      </c>
      <c r="AM72" s="113">
        <v>0</v>
      </c>
      <c r="AN72" s="113">
        <v>0</v>
      </c>
      <c r="AO72" s="113">
        <v>0</v>
      </c>
      <c r="AP72" s="113">
        <v>0</v>
      </c>
      <c r="AQ72" s="113">
        <v>0</v>
      </c>
      <c r="AR72" s="113">
        <v>0</v>
      </c>
      <c r="AS72" s="113">
        <v>0</v>
      </c>
      <c r="AT72" s="113">
        <v>0</v>
      </c>
      <c r="AU72" s="113">
        <v>0</v>
      </c>
      <c r="AV72" s="113">
        <v>0</v>
      </c>
      <c r="AW72" s="113">
        <v>0</v>
      </c>
      <c r="AX72" s="113">
        <v>0</v>
      </c>
      <c r="AY72" s="113">
        <v>0</v>
      </c>
      <c r="AZ72" s="113">
        <v>0</v>
      </c>
      <c r="BA72" s="113">
        <v>0</v>
      </c>
      <c r="BB72" s="113">
        <v>0</v>
      </c>
      <c r="BC72" s="113">
        <v>0</v>
      </c>
      <c r="BD72" s="113">
        <v>0</v>
      </c>
      <c r="BE72" s="113">
        <v>0</v>
      </c>
      <c r="BF72" s="113">
        <v>0</v>
      </c>
      <c r="BG72" s="113">
        <v>0</v>
      </c>
      <c r="BH72" s="113">
        <v>0</v>
      </c>
      <c r="BI72" s="113">
        <v>0</v>
      </c>
      <c r="BJ72" s="113">
        <v>0</v>
      </c>
      <c r="BK72" s="113">
        <v>0</v>
      </c>
      <c r="BL72" s="113">
        <v>0</v>
      </c>
      <c r="BM72" s="113">
        <v>0</v>
      </c>
      <c r="BN72" s="113">
        <v>65</v>
      </c>
      <c r="BO72" s="113">
        <v>27</v>
      </c>
      <c r="BP72" s="113">
        <v>0</v>
      </c>
      <c r="BQ72" s="113">
        <v>0</v>
      </c>
      <c r="BR72" s="113">
        <v>0</v>
      </c>
      <c r="BS72" s="113">
        <v>0</v>
      </c>
      <c r="BT72" s="113">
        <v>0</v>
      </c>
      <c r="BU72" s="113">
        <v>0</v>
      </c>
      <c r="BV72" s="172">
        <v>25</v>
      </c>
      <c r="BW72" s="172">
        <v>1</v>
      </c>
      <c r="BX72" s="172">
        <v>0</v>
      </c>
      <c r="BY72" s="168">
        <v>0</v>
      </c>
      <c r="BZ72" s="181">
        <v>0</v>
      </c>
      <c r="CA72" s="181">
        <v>0</v>
      </c>
      <c r="CB72" s="181">
        <v>0</v>
      </c>
      <c r="CC72" s="181">
        <v>0</v>
      </c>
      <c r="CD72" s="181">
        <v>0</v>
      </c>
      <c r="CE72" s="181">
        <v>0</v>
      </c>
      <c r="CF72" s="181">
        <v>9</v>
      </c>
      <c r="CG72" s="181">
        <v>6</v>
      </c>
      <c r="CH72" s="181">
        <v>0</v>
      </c>
      <c r="CI72" s="181">
        <v>0</v>
      </c>
      <c r="CJ72" s="181">
        <v>0</v>
      </c>
      <c r="CK72" s="181">
        <v>0</v>
      </c>
      <c r="CL72" s="181">
        <v>0</v>
      </c>
      <c r="CM72" s="181">
        <v>0</v>
      </c>
      <c r="CN72" s="181">
        <v>0</v>
      </c>
      <c r="CO72" s="181">
        <v>0</v>
      </c>
      <c r="CP72" s="181">
        <v>0</v>
      </c>
      <c r="CQ72" s="181">
        <v>0</v>
      </c>
      <c r="CR72" s="181">
        <v>0</v>
      </c>
      <c r="CS72" s="181">
        <v>0</v>
      </c>
      <c r="CT72" s="181">
        <v>0</v>
      </c>
      <c r="CU72" s="181">
        <v>0</v>
      </c>
      <c r="CV72" s="181">
        <v>0</v>
      </c>
      <c r="CW72" s="181">
        <v>0</v>
      </c>
      <c r="CX72" s="181">
        <v>0</v>
      </c>
      <c r="CY72" s="181">
        <v>0</v>
      </c>
      <c r="CZ72" s="181">
        <v>0</v>
      </c>
      <c r="DA72" s="181">
        <v>0</v>
      </c>
      <c r="DB72" s="181">
        <v>0</v>
      </c>
      <c r="DC72" s="181">
        <v>0</v>
      </c>
      <c r="DD72" s="181">
        <v>0</v>
      </c>
      <c r="DE72" s="181">
        <v>0</v>
      </c>
      <c r="DF72" s="181">
        <v>0</v>
      </c>
      <c r="DG72" s="181">
        <v>0</v>
      </c>
      <c r="DH72" s="181">
        <v>0</v>
      </c>
      <c r="DI72" s="181">
        <v>0</v>
      </c>
      <c r="DJ72" s="181">
        <v>0</v>
      </c>
      <c r="DK72" s="181">
        <v>0</v>
      </c>
      <c r="DL72" s="181">
        <v>0</v>
      </c>
      <c r="DM72" s="181">
        <v>0</v>
      </c>
      <c r="DN72" s="181">
        <v>6</v>
      </c>
      <c r="DO72" s="181">
        <v>3</v>
      </c>
      <c r="DP72" s="181">
        <v>0</v>
      </c>
      <c r="DQ72" s="181">
        <v>0</v>
      </c>
      <c r="DR72" s="181">
        <v>0</v>
      </c>
      <c r="DS72" s="181">
        <v>0</v>
      </c>
      <c r="DT72" s="181">
        <v>0</v>
      </c>
      <c r="DU72" s="181">
        <v>0</v>
      </c>
      <c r="DV72" s="181">
        <v>11</v>
      </c>
      <c r="DW72" s="181">
        <v>5</v>
      </c>
      <c r="DX72" s="181">
        <v>0</v>
      </c>
      <c r="DY72" s="181">
        <v>0</v>
      </c>
    </row>
    <row r="73" spans="1:129" ht="13.5">
      <c r="A73" s="168"/>
      <c r="B73" s="168"/>
      <c r="C73" s="168"/>
      <c r="D73" s="168"/>
      <c r="E73" s="174"/>
      <c r="F73" s="174"/>
      <c r="G73" s="174"/>
      <c r="H73" s="174"/>
      <c r="I73" s="197"/>
      <c r="J73" s="169"/>
      <c r="K73" s="169"/>
      <c r="M73" s="187"/>
      <c r="N73" s="188"/>
      <c r="O73" s="172" t="s">
        <v>41</v>
      </c>
      <c r="P73" s="172" t="s">
        <v>1541</v>
      </c>
      <c r="Q73" s="172" t="s">
        <v>1448</v>
      </c>
      <c r="R73" s="172" t="s">
        <v>1449</v>
      </c>
      <c r="S73" s="172">
        <v>2</v>
      </c>
      <c r="U73" s="172" t="s">
        <v>44</v>
      </c>
      <c r="V73" s="172" t="s">
        <v>1539</v>
      </c>
      <c r="W73" s="172" t="s">
        <v>1417</v>
      </c>
      <c r="X73" s="172">
        <v>1</v>
      </c>
      <c r="Y73" s="172" t="s">
        <v>1565</v>
      </c>
      <c r="Z73" s="113">
        <v>2478</v>
      </c>
      <c r="AA73" s="113">
        <v>207</v>
      </c>
      <c r="AB73" s="113">
        <v>700</v>
      </c>
      <c r="AC73" s="113">
        <v>82</v>
      </c>
      <c r="AD73" s="113">
        <v>2537</v>
      </c>
      <c r="AE73" s="113">
        <v>274</v>
      </c>
      <c r="AF73" s="113">
        <v>102</v>
      </c>
      <c r="AG73" s="113">
        <v>8</v>
      </c>
      <c r="AH73" s="113">
        <v>1192</v>
      </c>
      <c r="AI73" s="113">
        <v>152</v>
      </c>
      <c r="AJ73" s="113">
        <v>704</v>
      </c>
      <c r="AK73" s="113">
        <v>56</v>
      </c>
      <c r="AL73" s="113">
        <v>1826</v>
      </c>
      <c r="AM73" s="113">
        <v>241</v>
      </c>
      <c r="AN73" s="113">
        <v>46</v>
      </c>
      <c r="AO73" s="113">
        <v>7</v>
      </c>
      <c r="AP73" s="113">
        <v>81</v>
      </c>
      <c r="AQ73" s="113">
        <v>5</v>
      </c>
      <c r="AR73" s="113">
        <v>1472</v>
      </c>
      <c r="AS73" s="113">
        <v>225</v>
      </c>
      <c r="AT73" s="113">
        <v>1242</v>
      </c>
      <c r="AU73" s="113">
        <v>222</v>
      </c>
      <c r="AV73" s="113">
        <v>1059</v>
      </c>
      <c r="AW73" s="113">
        <v>122</v>
      </c>
      <c r="AX73" s="113">
        <v>0</v>
      </c>
      <c r="AY73" s="113">
        <v>0</v>
      </c>
      <c r="AZ73" s="113">
        <v>633</v>
      </c>
      <c r="BA73" s="113">
        <v>92</v>
      </c>
      <c r="BB73" s="113">
        <v>342</v>
      </c>
      <c r="BC73" s="113">
        <v>47</v>
      </c>
      <c r="BD73" s="113">
        <v>14</v>
      </c>
      <c r="BE73" s="113">
        <v>1</v>
      </c>
      <c r="BF73" s="113">
        <v>840</v>
      </c>
      <c r="BG73" s="113">
        <v>94</v>
      </c>
      <c r="BH73" s="113">
        <v>309</v>
      </c>
      <c r="BI73" s="113">
        <v>58</v>
      </c>
      <c r="BJ73" s="113">
        <v>825</v>
      </c>
      <c r="BK73" s="113">
        <v>132</v>
      </c>
      <c r="BL73" s="113">
        <v>715</v>
      </c>
      <c r="BM73" s="113">
        <v>92</v>
      </c>
      <c r="BN73" s="113">
        <v>119</v>
      </c>
      <c r="BO73" s="113">
        <v>18</v>
      </c>
      <c r="BP73" s="113">
        <v>460</v>
      </c>
      <c r="BQ73" s="113">
        <v>76</v>
      </c>
      <c r="BR73" s="113">
        <v>686</v>
      </c>
      <c r="BS73" s="113">
        <v>72</v>
      </c>
      <c r="BT73" s="113">
        <v>868</v>
      </c>
      <c r="BU73" s="113">
        <v>117</v>
      </c>
      <c r="BV73" s="172">
        <v>0</v>
      </c>
      <c r="BW73" s="172">
        <v>0</v>
      </c>
      <c r="BX73" s="172">
        <v>20</v>
      </c>
      <c r="BY73" s="168">
        <v>18</v>
      </c>
      <c r="BZ73" s="181">
        <v>0</v>
      </c>
      <c r="CA73" s="181">
        <v>0</v>
      </c>
      <c r="CB73" s="181">
        <v>12</v>
      </c>
      <c r="CC73" s="181">
        <v>12</v>
      </c>
      <c r="CD73" s="181">
        <v>11</v>
      </c>
      <c r="CE73" s="181">
        <v>7</v>
      </c>
      <c r="CF73" s="181">
        <v>9</v>
      </c>
      <c r="CG73" s="181">
        <v>2</v>
      </c>
      <c r="CH73" s="181">
        <v>4</v>
      </c>
      <c r="CI73" s="181">
        <v>4</v>
      </c>
      <c r="CJ73" s="181">
        <v>6</v>
      </c>
      <c r="CK73" s="181">
        <v>1</v>
      </c>
      <c r="CL73" s="181">
        <v>1</v>
      </c>
      <c r="CM73" s="181">
        <v>1</v>
      </c>
      <c r="CN73" s="181">
        <v>6</v>
      </c>
      <c r="CO73" s="181">
        <v>4</v>
      </c>
      <c r="CP73" s="181">
        <v>8</v>
      </c>
      <c r="CQ73" s="181">
        <v>2</v>
      </c>
      <c r="CR73" s="181">
        <v>12</v>
      </c>
      <c r="CS73" s="181">
        <v>0</v>
      </c>
      <c r="CT73" s="181">
        <v>2</v>
      </c>
      <c r="CU73" s="181">
        <v>1</v>
      </c>
      <c r="CV73" s="181">
        <v>5</v>
      </c>
      <c r="CW73" s="181">
        <v>1</v>
      </c>
      <c r="CX73" s="181">
        <v>0</v>
      </c>
      <c r="CY73" s="181">
        <v>0</v>
      </c>
      <c r="CZ73" s="181">
        <v>2</v>
      </c>
      <c r="DA73" s="181">
        <v>0</v>
      </c>
      <c r="DB73" s="181">
        <v>12</v>
      </c>
      <c r="DC73" s="181">
        <v>5</v>
      </c>
      <c r="DD73" s="181">
        <v>4</v>
      </c>
      <c r="DE73" s="181">
        <v>0</v>
      </c>
      <c r="DF73" s="181">
        <v>7</v>
      </c>
      <c r="DG73" s="181">
        <v>1</v>
      </c>
      <c r="DH73" s="181">
        <v>12</v>
      </c>
      <c r="DI73" s="181">
        <v>10</v>
      </c>
      <c r="DJ73" s="181">
        <v>7</v>
      </c>
      <c r="DK73" s="181">
        <v>1</v>
      </c>
      <c r="DL73" s="181">
        <v>8</v>
      </c>
      <c r="DM73" s="181">
        <v>4</v>
      </c>
      <c r="DN73" s="181">
        <v>3</v>
      </c>
      <c r="DO73" s="181">
        <v>0</v>
      </c>
      <c r="DP73" s="181">
        <v>6</v>
      </c>
      <c r="DQ73" s="181">
        <v>3</v>
      </c>
      <c r="DR73" s="181">
        <v>9</v>
      </c>
      <c r="DS73" s="181">
        <v>1</v>
      </c>
      <c r="DT73" s="181">
        <v>7</v>
      </c>
      <c r="DU73" s="181">
        <v>3</v>
      </c>
      <c r="DV73" s="181">
        <v>0</v>
      </c>
      <c r="DW73" s="181">
        <v>0</v>
      </c>
      <c r="DX73" s="181">
        <v>4</v>
      </c>
      <c r="DY73" s="181">
        <v>4</v>
      </c>
    </row>
    <row r="74" spans="2:129" ht="13.5">
      <c r="B74" s="174"/>
      <c r="C74" s="174"/>
      <c r="D74" s="174"/>
      <c r="E74" s="174"/>
      <c r="F74" s="174"/>
      <c r="G74" s="174"/>
      <c r="H74" s="174"/>
      <c r="I74" s="197"/>
      <c r="J74" s="169"/>
      <c r="K74" s="169"/>
      <c r="M74" s="187"/>
      <c r="N74" s="188"/>
      <c r="O74" s="172" t="s">
        <v>41</v>
      </c>
      <c r="P74" s="172" t="s">
        <v>1541</v>
      </c>
      <c r="Q74" s="172" t="s">
        <v>1497</v>
      </c>
      <c r="R74" s="172" t="s">
        <v>1498</v>
      </c>
      <c r="S74" s="172">
        <v>3</v>
      </c>
      <c r="U74" s="172" t="s">
        <v>45</v>
      </c>
      <c r="V74" s="172" t="s">
        <v>1540</v>
      </c>
      <c r="W74" s="172" t="s">
        <v>1355</v>
      </c>
      <c r="X74" s="172">
        <v>1</v>
      </c>
      <c r="Y74" s="172" t="s">
        <v>1566</v>
      </c>
      <c r="Z74" s="113">
        <v>0</v>
      </c>
      <c r="AA74" s="113">
        <v>0</v>
      </c>
      <c r="AB74" s="113">
        <v>943</v>
      </c>
      <c r="AC74" s="113">
        <v>161</v>
      </c>
      <c r="AD74" s="113">
        <v>1202</v>
      </c>
      <c r="AE74" s="113">
        <v>230</v>
      </c>
      <c r="AF74" s="113">
        <v>56</v>
      </c>
      <c r="AG74" s="113">
        <v>8</v>
      </c>
      <c r="AH74" s="113">
        <v>229</v>
      </c>
      <c r="AI74" s="113">
        <v>60</v>
      </c>
      <c r="AJ74" s="113">
        <v>1220</v>
      </c>
      <c r="AK74" s="113">
        <v>255</v>
      </c>
      <c r="AL74" s="113">
        <v>150</v>
      </c>
      <c r="AM74" s="113">
        <v>57</v>
      </c>
      <c r="AN74" s="113">
        <v>7</v>
      </c>
      <c r="AO74" s="113">
        <v>0</v>
      </c>
      <c r="AP74" s="113">
        <v>0</v>
      </c>
      <c r="AQ74" s="113">
        <v>0</v>
      </c>
      <c r="AR74" s="113">
        <v>346</v>
      </c>
      <c r="AS74" s="113">
        <v>64</v>
      </c>
      <c r="AT74" s="113">
        <v>581</v>
      </c>
      <c r="AU74" s="113">
        <v>106</v>
      </c>
      <c r="AV74" s="113">
        <v>800</v>
      </c>
      <c r="AW74" s="113">
        <v>142</v>
      </c>
      <c r="AX74" s="113">
        <v>0</v>
      </c>
      <c r="AY74" s="113">
        <v>0</v>
      </c>
      <c r="AZ74" s="113">
        <v>0</v>
      </c>
      <c r="BA74" s="113">
        <v>0</v>
      </c>
      <c r="BB74" s="113">
        <v>0</v>
      </c>
      <c r="BC74" s="113">
        <v>0</v>
      </c>
      <c r="BD74" s="113">
        <v>0</v>
      </c>
      <c r="BE74" s="113">
        <v>0</v>
      </c>
      <c r="BF74" s="113">
        <v>0</v>
      </c>
      <c r="BG74" s="113">
        <v>0</v>
      </c>
      <c r="BH74" s="113">
        <v>118</v>
      </c>
      <c r="BI74" s="113">
        <v>38</v>
      </c>
      <c r="BJ74" s="113">
        <v>0</v>
      </c>
      <c r="BK74" s="113">
        <v>0</v>
      </c>
      <c r="BL74" s="113">
        <v>0</v>
      </c>
      <c r="BM74" s="113">
        <v>0</v>
      </c>
      <c r="BN74" s="113">
        <v>315</v>
      </c>
      <c r="BO74" s="113">
        <v>90</v>
      </c>
      <c r="BP74" s="113">
        <v>11</v>
      </c>
      <c r="BQ74" s="113">
        <v>2</v>
      </c>
      <c r="BR74" s="113">
        <v>439</v>
      </c>
      <c r="BS74" s="113">
        <v>88</v>
      </c>
      <c r="BT74" s="113">
        <v>0</v>
      </c>
      <c r="BU74" s="113">
        <v>0</v>
      </c>
      <c r="BV74" s="172">
        <v>780</v>
      </c>
      <c r="BW74" s="172">
        <v>137</v>
      </c>
      <c r="BX74" s="172">
        <v>193</v>
      </c>
      <c r="BY74" s="168">
        <v>35</v>
      </c>
      <c r="BZ74" s="181">
        <v>0</v>
      </c>
      <c r="CA74" s="181">
        <v>0</v>
      </c>
      <c r="CB74" s="181">
        <v>2</v>
      </c>
      <c r="CC74" s="181">
        <v>1</v>
      </c>
      <c r="CD74" s="181">
        <v>4</v>
      </c>
      <c r="CE74" s="181">
        <v>4</v>
      </c>
      <c r="CF74" s="181">
        <v>7</v>
      </c>
      <c r="CG74" s="181">
        <v>7</v>
      </c>
      <c r="CH74" s="181">
        <v>2</v>
      </c>
      <c r="CI74" s="181">
        <v>2</v>
      </c>
      <c r="CJ74" s="181">
        <v>6</v>
      </c>
      <c r="CK74" s="181">
        <v>5</v>
      </c>
      <c r="CL74" s="181">
        <v>4</v>
      </c>
      <c r="CM74" s="181">
        <v>3</v>
      </c>
      <c r="CN74" s="181">
        <v>10</v>
      </c>
      <c r="CO74" s="181">
        <v>0</v>
      </c>
      <c r="CP74" s="181">
        <v>0</v>
      </c>
      <c r="CQ74" s="181">
        <v>0</v>
      </c>
      <c r="CR74" s="181">
        <v>0</v>
      </c>
      <c r="CS74" s="181">
        <v>0</v>
      </c>
      <c r="CT74" s="181">
        <v>12</v>
      </c>
      <c r="CU74" s="181">
        <v>8</v>
      </c>
      <c r="CV74" s="181">
        <v>5</v>
      </c>
      <c r="CW74" s="181">
        <v>2</v>
      </c>
      <c r="CX74" s="181">
        <v>0</v>
      </c>
      <c r="CY74" s="181">
        <v>0</v>
      </c>
      <c r="CZ74" s="181">
        <v>0</v>
      </c>
      <c r="DA74" s="181">
        <v>0</v>
      </c>
      <c r="DB74" s="181">
        <v>0</v>
      </c>
      <c r="DC74" s="181">
        <v>0</v>
      </c>
      <c r="DD74" s="181">
        <v>0</v>
      </c>
      <c r="DE74" s="181">
        <v>0</v>
      </c>
      <c r="DF74" s="181">
        <v>0</v>
      </c>
      <c r="DG74" s="181">
        <v>0</v>
      </c>
      <c r="DH74" s="181">
        <v>12</v>
      </c>
      <c r="DI74" s="181">
        <v>0</v>
      </c>
      <c r="DJ74" s="181">
        <v>0</v>
      </c>
      <c r="DK74" s="181">
        <v>0</v>
      </c>
      <c r="DL74" s="181">
        <v>0</v>
      </c>
      <c r="DM74" s="181">
        <v>0</v>
      </c>
      <c r="DN74" s="181">
        <v>0</v>
      </c>
      <c r="DO74" s="181">
        <v>0</v>
      </c>
      <c r="DP74" s="181">
        <v>7</v>
      </c>
      <c r="DQ74" s="181">
        <v>3</v>
      </c>
      <c r="DR74" s="181">
        <v>7</v>
      </c>
      <c r="DS74" s="181">
        <v>3</v>
      </c>
      <c r="DT74" s="181">
        <v>0</v>
      </c>
      <c r="DU74" s="181">
        <v>0</v>
      </c>
      <c r="DV74" s="181">
        <v>5</v>
      </c>
      <c r="DW74" s="181">
        <v>3</v>
      </c>
      <c r="DX74" s="181">
        <v>6</v>
      </c>
      <c r="DY74" s="181">
        <v>4</v>
      </c>
    </row>
    <row r="75" spans="2:129" ht="13.5">
      <c r="B75" s="174"/>
      <c r="C75" s="174"/>
      <c r="D75" s="174"/>
      <c r="E75" s="174"/>
      <c r="F75" s="174"/>
      <c r="G75" s="174"/>
      <c r="H75" s="174"/>
      <c r="I75" s="197"/>
      <c r="J75" s="169"/>
      <c r="K75" s="169"/>
      <c r="M75" s="187"/>
      <c r="N75" s="188"/>
      <c r="O75" s="172" t="s">
        <v>41</v>
      </c>
      <c r="P75" s="172" t="s">
        <v>1541</v>
      </c>
      <c r="Q75" s="172" t="s">
        <v>1503</v>
      </c>
      <c r="R75" s="172" t="s">
        <v>1504</v>
      </c>
      <c r="S75" s="172">
        <v>4</v>
      </c>
      <c r="U75" s="172" t="s">
        <v>45</v>
      </c>
      <c r="V75" s="172" t="s">
        <v>1540</v>
      </c>
      <c r="W75" s="172" t="s">
        <v>318</v>
      </c>
      <c r="X75" s="172">
        <v>2</v>
      </c>
      <c r="Y75" s="172" t="s">
        <v>1567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13">
        <v>0</v>
      </c>
      <c r="AF75" s="113">
        <v>52</v>
      </c>
      <c r="AG75" s="113">
        <v>2</v>
      </c>
      <c r="AH75" s="113">
        <v>0</v>
      </c>
      <c r="AI75" s="113">
        <v>0</v>
      </c>
      <c r="AJ75" s="113">
        <v>0</v>
      </c>
      <c r="AK75" s="113">
        <v>0</v>
      </c>
      <c r="AL75" s="113">
        <v>0</v>
      </c>
      <c r="AM75" s="113">
        <v>0</v>
      </c>
      <c r="AN75" s="113">
        <v>0</v>
      </c>
      <c r="AO75" s="113">
        <v>0</v>
      </c>
      <c r="AP75" s="113">
        <v>0</v>
      </c>
      <c r="AQ75" s="113">
        <v>0</v>
      </c>
      <c r="AR75" s="113">
        <v>0</v>
      </c>
      <c r="AS75" s="113">
        <v>0</v>
      </c>
      <c r="AT75" s="113">
        <v>0</v>
      </c>
      <c r="AU75" s="113">
        <v>0</v>
      </c>
      <c r="AV75" s="113">
        <v>0</v>
      </c>
      <c r="AW75" s="113">
        <v>0</v>
      </c>
      <c r="AX75" s="113">
        <v>0</v>
      </c>
      <c r="AY75" s="113">
        <v>0</v>
      </c>
      <c r="AZ75" s="113">
        <v>0</v>
      </c>
      <c r="BA75" s="113">
        <v>0</v>
      </c>
      <c r="BB75" s="113">
        <v>0</v>
      </c>
      <c r="BC75" s="113">
        <v>0</v>
      </c>
      <c r="BD75" s="113">
        <v>0</v>
      </c>
      <c r="BE75" s="113">
        <v>0</v>
      </c>
      <c r="BF75" s="113">
        <v>0</v>
      </c>
      <c r="BG75" s="113">
        <v>0</v>
      </c>
      <c r="BH75" s="113">
        <v>0</v>
      </c>
      <c r="BI75" s="113">
        <v>0</v>
      </c>
      <c r="BJ75" s="113">
        <v>0</v>
      </c>
      <c r="BK75" s="113">
        <v>0</v>
      </c>
      <c r="BL75" s="113">
        <v>0</v>
      </c>
      <c r="BM75" s="113">
        <v>0</v>
      </c>
      <c r="BN75" s="113">
        <v>0</v>
      </c>
      <c r="BO75" s="113">
        <v>0</v>
      </c>
      <c r="BP75" s="113">
        <v>0</v>
      </c>
      <c r="BQ75" s="113">
        <v>0</v>
      </c>
      <c r="BR75" s="113">
        <v>0</v>
      </c>
      <c r="BS75" s="113">
        <v>0</v>
      </c>
      <c r="BT75" s="113">
        <v>0</v>
      </c>
      <c r="BU75" s="113">
        <v>0</v>
      </c>
      <c r="BV75" s="172">
        <v>0</v>
      </c>
      <c r="BW75" s="172">
        <v>0</v>
      </c>
      <c r="BX75" s="172">
        <v>336</v>
      </c>
      <c r="BY75" s="168">
        <v>68</v>
      </c>
      <c r="BZ75" s="181">
        <v>0</v>
      </c>
      <c r="CA75" s="181">
        <v>0</v>
      </c>
      <c r="CB75" s="181">
        <v>0</v>
      </c>
      <c r="CC75" s="181">
        <v>0</v>
      </c>
      <c r="CD75" s="181">
        <v>0</v>
      </c>
      <c r="CE75" s="181">
        <v>0</v>
      </c>
      <c r="CF75" s="181">
        <v>4</v>
      </c>
      <c r="CG75" s="181">
        <v>1</v>
      </c>
      <c r="CH75" s="181">
        <v>0</v>
      </c>
      <c r="CI75" s="181">
        <v>0</v>
      </c>
      <c r="CJ75" s="181">
        <v>0</v>
      </c>
      <c r="CK75" s="181">
        <v>0</v>
      </c>
      <c r="CL75" s="181">
        <v>0</v>
      </c>
      <c r="CM75" s="181">
        <v>0</v>
      </c>
      <c r="CN75" s="181">
        <v>0</v>
      </c>
      <c r="CO75" s="181">
        <v>0</v>
      </c>
      <c r="CP75" s="181">
        <v>0</v>
      </c>
      <c r="CQ75" s="181">
        <v>0</v>
      </c>
      <c r="CR75" s="181">
        <v>0</v>
      </c>
      <c r="CS75" s="181">
        <v>0</v>
      </c>
      <c r="CT75" s="181">
        <v>0</v>
      </c>
      <c r="CU75" s="181">
        <v>0</v>
      </c>
      <c r="CV75" s="181">
        <v>0</v>
      </c>
      <c r="CW75" s="181">
        <v>0</v>
      </c>
      <c r="CX75" s="181">
        <v>0</v>
      </c>
      <c r="CY75" s="181">
        <v>0</v>
      </c>
      <c r="CZ75" s="181">
        <v>0</v>
      </c>
      <c r="DA75" s="181">
        <v>0</v>
      </c>
      <c r="DB75" s="181">
        <v>0</v>
      </c>
      <c r="DC75" s="181">
        <v>0</v>
      </c>
      <c r="DD75" s="181">
        <v>0</v>
      </c>
      <c r="DE75" s="181">
        <v>0</v>
      </c>
      <c r="DF75" s="181">
        <v>0</v>
      </c>
      <c r="DG75" s="181">
        <v>0</v>
      </c>
      <c r="DH75" s="181">
        <v>0</v>
      </c>
      <c r="DI75" s="181">
        <v>0</v>
      </c>
      <c r="DJ75" s="181">
        <v>0</v>
      </c>
      <c r="DK75" s="181">
        <v>0</v>
      </c>
      <c r="DL75" s="181">
        <v>0</v>
      </c>
      <c r="DM75" s="181">
        <v>0</v>
      </c>
      <c r="DN75" s="181">
        <v>0</v>
      </c>
      <c r="DO75" s="181">
        <v>0</v>
      </c>
      <c r="DP75" s="181">
        <v>0</v>
      </c>
      <c r="DQ75" s="181">
        <v>0</v>
      </c>
      <c r="DR75" s="181">
        <v>0</v>
      </c>
      <c r="DS75" s="181">
        <v>0</v>
      </c>
      <c r="DT75" s="181">
        <v>0</v>
      </c>
      <c r="DU75" s="181">
        <v>0</v>
      </c>
      <c r="DV75" s="181">
        <v>0</v>
      </c>
      <c r="DW75" s="181">
        <v>0</v>
      </c>
      <c r="DX75" s="181">
        <v>0</v>
      </c>
      <c r="DY75" s="181">
        <v>0</v>
      </c>
    </row>
    <row r="76" spans="1:130" s="191" customFormat="1" ht="13.5">
      <c r="A76" s="187"/>
      <c r="B76" s="174"/>
      <c r="C76" s="174"/>
      <c r="D76" s="174"/>
      <c r="E76" s="174"/>
      <c r="F76" s="174"/>
      <c r="G76" s="174"/>
      <c r="H76" s="174"/>
      <c r="I76" s="197"/>
      <c r="J76" s="169"/>
      <c r="K76" s="169"/>
      <c r="L76" s="169"/>
      <c r="M76" s="187"/>
      <c r="N76" s="188"/>
      <c r="O76" s="172" t="s">
        <v>41</v>
      </c>
      <c r="P76" s="172" t="s">
        <v>1541</v>
      </c>
      <c r="Q76" s="172" t="s">
        <v>1517</v>
      </c>
      <c r="R76" s="172" t="s">
        <v>1518</v>
      </c>
      <c r="S76" s="172">
        <v>5</v>
      </c>
      <c r="T76" s="189"/>
      <c r="U76" s="172" t="s">
        <v>41</v>
      </c>
      <c r="V76" s="172" t="s">
        <v>1541</v>
      </c>
      <c r="W76" s="172" t="s">
        <v>1423</v>
      </c>
      <c r="X76" s="172">
        <v>1</v>
      </c>
      <c r="Y76" s="172" t="s">
        <v>1568</v>
      </c>
      <c r="Z76" s="113">
        <v>0</v>
      </c>
      <c r="AA76" s="113">
        <v>0</v>
      </c>
      <c r="AB76" s="113">
        <v>0</v>
      </c>
      <c r="AC76" s="113">
        <v>0</v>
      </c>
      <c r="AD76" s="113">
        <v>10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1</v>
      </c>
      <c r="AS76" s="113">
        <v>0</v>
      </c>
      <c r="AT76" s="113">
        <v>0</v>
      </c>
      <c r="AU76" s="113">
        <v>0</v>
      </c>
      <c r="AV76" s="113">
        <v>29</v>
      </c>
      <c r="AW76" s="113">
        <v>12</v>
      </c>
      <c r="AX76" s="113">
        <v>0</v>
      </c>
      <c r="AY76" s="113">
        <v>0</v>
      </c>
      <c r="AZ76" s="113">
        <v>0</v>
      </c>
      <c r="BA76" s="113">
        <v>0</v>
      </c>
      <c r="BB76" s="113">
        <v>0</v>
      </c>
      <c r="BC76" s="113">
        <v>0</v>
      </c>
      <c r="BD76" s="113">
        <v>0</v>
      </c>
      <c r="BE76" s="113">
        <v>0</v>
      </c>
      <c r="BF76" s="113">
        <v>0</v>
      </c>
      <c r="BG76" s="113">
        <v>0</v>
      </c>
      <c r="BH76" s="113">
        <v>21</v>
      </c>
      <c r="BI76" s="113">
        <v>11</v>
      </c>
      <c r="BJ76" s="113">
        <v>0</v>
      </c>
      <c r="BK76" s="113">
        <v>0</v>
      </c>
      <c r="BL76" s="113">
        <v>0</v>
      </c>
      <c r="BM76" s="113">
        <v>0</v>
      </c>
      <c r="BN76" s="113">
        <v>0</v>
      </c>
      <c r="BO76" s="113">
        <v>0</v>
      </c>
      <c r="BP76" s="113">
        <v>0</v>
      </c>
      <c r="BQ76" s="113">
        <v>0</v>
      </c>
      <c r="BR76" s="113">
        <v>0</v>
      </c>
      <c r="BS76" s="113">
        <v>0</v>
      </c>
      <c r="BT76" s="113">
        <v>0</v>
      </c>
      <c r="BU76" s="113">
        <v>0</v>
      </c>
      <c r="BV76" s="172">
        <v>0</v>
      </c>
      <c r="BW76" s="172">
        <v>0</v>
      </c>
      <c r="BX76" s="172">
        <v>0</v>
      </c>
      <c r="BY76" s="168">
        <v>0</v>
      </c>
      <c r="BZ76" s="181">
        <v>0</v>
      </c>
      <c r="CA76" s="181">
        <v>0</v>
      </c>
      <c r="CB76" s="181">
        <v>0</v>
      </c>
      <c r="CC76" s="181">
        <v>0</v>
      </c>
      <c r="CD76" s="181">
        <v>9</v>
      </c>
      <c r="CE76" s="181">
        <v>0</v>
      </c>
      <c r="CF76" s="181">
        <v>0</v>
      </c>
      <c r="CG76" s="181">
        <v>0</v>
      </c>
      <c r="CH76" s="181">
        <v>0</v>
      </c>
      <c r="CI76" s="181">
        <v>0</v>
      </c>
      <c r="CJ76" s="181">
        <v>0</v>
      </c>
      <c r="CK76" s="181">
        <v>0</v>
      </c>
      <c r="CL76" s="181">
        <v>0</v>
      </c>
      <c r="CM76" s="181">
        <v>0</v>
      </c>
      <c r="CN76" s="181">
        <v>0</v>
      </c>
      <c r="CO76" s="181">
        <v>0</v>
      </c>
      <c r="CP76" s="181">
        <v>0</v>
      </c>
      <c r="CQ76" s="181">
        <v>0</v>
      </c>
      <c r="CR76" s="181">
        <v>9</v>
      </c>
      <c r="CS76" s="181">
        <v>0</v>
      </c>
      <c r="CT76" s="181">
        <v>0</v>
      </c>
      <c r="CU76" s="181">
        <v>0</v>
      </c>
      <c r="CV76" s="181">
        <v>0</v>
      </c>
      <c r="CW76" s="181">
        <v>0</v>
      </c>
      <c r="CX76" s="181">
        <v>0</v>
      </c>
      <c r="CY76" s="181">
        <v>0</v>
      </c>
      <c r="CZ76" s="181">
        <v>0</v>
      </c>
      <c r="DA76" s="181">
        <v>0</v>
      </c>
      <c r="DB76" s="181">
        <v>0</v>
      </c>
      <c r="DC76" s="181">
        <v>0</v>
      </c>
      <c r="DD76" s="181">
        <v>0</v>
      </c>
      <c r="DE76" s="181">
        <v>0</v>
      </c>
      <c r="DF76" s="181">
        <v>0</v>
      </c>
      <c r="DG76" s="181">
        <v>0</v>
      </c>
      <c r="DH76" s="181">
        <v>11</v>
      </c>
      <c r="DI76" s="181">
        <v>11</v>
      </c>
      <c r="DJ76" s="181">
        <v>0</v>
      </c>
      <c r="DK76" s="181">
        <v>0</v>
      </c>
      <c r="DL76" s="181">
        <v>0</v>
      </c>
      <c r="DM76" s="181">
        <v>0</v>
      </c>
      <c r="DN76" s="181">
        <v>0</v>
      </c>
      <c r="DO76" s="181">
        <v>0</v>
      </c>
      <c r="DP76" s="181">
        <v>0</v>
      </c>
      <c r="DQ76" s="181">
        <v>0</v>
      </c>
      <c r="DR76" s="181">
        <v>0</v>
      </c>
      <c r="DS76" s="181">
        <v>0</v>
      </c>
      <c r="DT76" s="181">
        <v>0</v>
      </c>
      <c r="DU76" s="181">
        <v>0</v>
      </c>
      <c r="DV76" s="181">
        <v>0</v>
      </c>
      <c r="DW76" s="181">
        <v>0</v>
      </c>
      <c r="DX76" s="181">
        <v>0</v>
      </c>
      <c r="DY76" s="181">
        <v>0</v>
      </c>
      <c r="DZ76" s="190"/>
    </row>
    <row r="77" spans="2:129" ht="13.5">
      <c r="B77" s="174"/>
      <c r="C77" s="174"/>
      <c r="D77" s="174"/>
      <c r="E77" s="174"/>
      <c r="F77" s="174"/>
      <c r="G77" s="174"/>
      <c r="H77" s="174"/>
      <c r="I77" s="197"/>
      <c r="J77" s="169"/>
      <c r="K77" s="169"/>
      <c r="M77" s="187"/>
      <c r="N77" s="188"/>
      <c r="O77" s="172" t="s">
        <v>41</v>
      </c>
      <c r="P77" s="172" t="s">
        <v>1541</v>
      </c>
      <c r="Q77" s="172" t="s">
        <v>1526</v>
      </c>
      <c r="R77" s="172" t="s">
        <v>1527</v>
      </c>
      <c r="S77" s="172">
        <v>6</v>
      </c>
      <c r="U77" s="172" t="s">
        <v>41</v>
      </c>
      <c r="V77" s="172" t="s">
        <v>1541</v>
      </c>
      <c r="W77" s="172" t="s">
        <v>1448</v>
      </c>
      <c r="X77" s="172">
        <v>2</v>
      </c>
      <c r="Y77" s="172" t="s">
        <v>1569</v>
      </c>
      <c r="Z77" s="113">
        <v>0</v>
      </c>
      <c r="AA77" s="113">
        <v>0</v>
      </c>
      <c r="AB77" s="113">
        <v>6072</v>
      </c>
      <c r="AC77" s="113">
        <v>742</v>
      </c>
      <c r="AD77" s="113">
        <v>1627</v>
      </c>
      <c r="AE77" s="113">
        <v>243</v>
      </c>
      <c r="AF77" s="113">
        <v>553</v>
      </c>
      <c r="AG77" s="113">
        <v>168</v>
      </c>
      <c r="AH77" s="113">
        <v>602</v>
      </c>
      <c r="AI77" s="113">
        <v>141</v>
      </c>
      <c r="AJ77" s="113">
        <v>1646</v>
      </c>
      <c r="AK77" s="113">
        <v>307</v>
      </c>
      <c r="AL77" s="113">
        <v>1459</v>
      </c>
      <c r="AM77" s="113">
        <v>259</v>
      </c>
      <c r="AN77" s="113">
        <v>0</v>
      </c>
      <c r="AO77" s="113">
        <v>0</v>
      </c>
      <c r="AP77" s="113">
        <v>1304</v>
      </c>
      <c r="AQ77" s="113">
        <v>178</v>
      </c>
      <c r="AR77" s="113">
        <v>1673</v>
      </c>
      <c r="AS77" s="113">
        <v>263</v>
      </c>
      <c r="AT77" s="113">
        <v>431</v>
      </c>
      <c r="AU77" s="113">
        <v>69</v>
      </c>
      <c r="AV77" s="113">
        <v>5867</v>
      </c>
      <c r="AW77" s="113">
        <v>922</v>
      </c>
      <c r="AX77" s="113">
        <v>1723</v>
      </c>
      <c r="AY77" s="113">
        <v>267</v>
      </c>
      <c r="AZ77" s="113">
        <v>1140</v>
      </c>
      <c r="BA77" s="113">
        <v>118</v>
      </c>
      <c r="BB77" s="113">
        <v>0</v>
      </c>
      <c r="BC77" s="113">
        <v>0</v>
      </c>
      <c r="BD77" s="113">
        <v>0</v>
      </c>
      <c r="BE77" s="113">
        <v>0</v>
      </c>
      <c r="BF77" s="113">
        <v>183</v>
      </c>
      <c r="BG77" s="113">
        <v>58</v>
      </c>
      <c r="BH77" s="113">
        <v>7180</v>
      </c>
      <c r="BI77" s="113">
        <v>743</v>
      </c>
      <c r="BJ77" s="113">
        <v>2620</v>
      </c>
      <c r="BK77" s="113">
        <v>229</v>
      </c>
      <c r="BL77" s="113">
        <v>592</v>
      </c>
      <c r="BM77" s="113">
        <v>115</v>
      </c>
      <c r="BN77" s="113">
        <v>225</v>
      </c>
      <c r="BO77" s="113">
        <v>43</v>
      </c>
      <c r="BP77" s="113">
        <v>773</v>
      </c>
      <c r="BQ77" s="113">
        <v>108</v>
      </c>
      <c r="BR77" s="113">
        <v>1489</v>
      </c>
      <c r="BS77" s="113">
        <v>282</v>
      </c>
      <c r="BT77" s="113">
        <v>236</v>
      </c>
      <c r="BU77" s="113">
        <v>53</v>
      </c>
      <c r="BV77" s="172">
        <v>0</v>
      </c>
      <c r="BW77" s="172">
        <v>0</v>
      </c>
      <c r="BX77" s="172">
        <v>0</v>
      </c>
      <c r="BY77" s="168">
        <v>0</v>
      </c>
      <c r="BZ77" s="181">
        <v>0</v>
      </c>
      <c r="CA77" s="181">
        <v>0</v>
      </c>
      <c r="CB77" s="181">
        <v>11</v>
      </c>
      <c r="CC77" s="181">
        <v>6</v>
      </c>
      <c r="CD77" s="181">
        <v>12</v>
      </c>
      <c r="CE77" s="181">
        <v>12</v>
      </c>
      <c r="CF77" s="181">
        <v>11</v>
      </c>
      <c r="CG77" s="181">
        <v>11</v>
      </c>
      <c r="CH77" s="181">
        <v>2</v>
      </c>
      <c r="CI77" s="181">
        <v>2</v>
      </c>
      <c r="CJ77" s="181">
        <v>3</v>
      </c>
      <c r="CK77" s="181">
        <v>3</v>
      </c>
      <c r="CL77" s="181">
        <v>5</v>
      </c>
      <c r="CM77" s="181">
        <v>5</v>
      </c>
      <c r="CN77" s="181">
        <v>0</v>
      </c>
      <c r="CO77" s="181">
        <v>0</v>
      </c>
      <c r="CP77" s="181">
        <v>12</v>
      </c>
      <c r="CQ77" s="181">
        <v>4</v>
      </c>
      <c r="CR77" s="181">
        <v>3</v>
      </c>
      <c r="CS77" s="181">
        <v>3</v>
      </c>
      <c r="CT77" s="181">
        <v>11</v>
      </c>
      <c r="CU77" s="181">
        <v>5</v>
      </c>
      <c r="CV77" s="181">
        <v>6</v>
      </c>
      <c r="CW77" s="181">
        <v>2</v>
      </c>
      <c r="CX77" s="181">
        <v>3</v>
      </c>
      <c r="CY77" s="181">
        <v>1</v>
      </c>
      <c r="CZ77" s="181">
        <v>10</v>
      </c>
      <c r="DA77" s="181">
        <v>8</v>
      </c>
      <c r="DB77" s="181">
        <v>0</v>
      </c>
      <c r="DC77" s="181">
        <v>0</v>
      </c>
      <c r="DD77" s="181">
        <v>0</v>
      </c>
      <c r="DE77" s="181">
        <v>0</v>
      </c>
      <c r="DF77" s="181">
        <v>7</v>
      </c>
      <c r="DG77" s="181">
        <v>7</v>
      </c>
      <c r="DH77" s="181">
        <v>2</v>
      </c>
      <c r="DI77" s="181">
        <v>1</v>
      </c>
      <c r="DJ77" s="181">
        <v>1</v>
      </c>
      <c r="DK77" s="181">
        <v>0</v>
      </c>
      <c r="DL77" s="181">
        <v>1</v>
      </c>
      <c r="DM77" s="181">
        <v>1</v>
      </c>
      <c r="DN77" s="181">
        <v>5</v>
      </c>
      <c r="DO77" s="181">
        <v>4</v>
      </c>
      <c r="DP77" s="181">
        <v>1</v>
      </c>
      <c r="DQ77" s="181">
        <v>1</v>
      </c>
      <c r="DR77" s="181">
        <v>10</v>
      </c>
      <c r="DS77" s="181">
        <v>8</v>
      </c>
      <c r="DT77" s="181">
        <v>9</v>
      </c>
      <c r="DU77" s="181">
        <v>6</v>
      </c>
      <c r="DV77" s="181">
        <v>0</v>
      </c>
      <c r="DW77" s="181">
        <v>0</v>
      </c>
      <c r="DX77" s="181">
        <v>0</v>
      </c>
      <c r="DY77" s="181">
        <v>0</v>
      </c>
    </row>
    <row r="78" spans="2:129" ht="13.5">
      <c r="B78" s="174"/>
      <c r="C78" s="174"/>
      <c r="D78" s="174"/>
      <c r="I78" s="169"/>
      <c r="J78" s="169"/>
      <c r="K78" s="169"/>
      <c r="M78" s="187"/>
      <c r="N78" s="188"/>
      <c r="O78" s="172" t="s">
        <v>41</v>
      </c>
      <c r="P78" s="172" t="s">
        <v>1541</v>
      </c>
      <c r="Q78" s="172" t="s">
        <v>329</v>
      </c>
      <c r="R78" s="172" t="s">
        <v>330</v>
      </c>
      <c r="S78" s="172">
        <v>7</v>
      </c>
      <c r="U78" s="172" t="s">
        <v>41</v>
      </c>
      <c r="V78" s="172" t="s">
        <v>1541</v>
      </c>
      <c r="W78" s="172" t="s">
        <v>1497</v>
      </c>
      <c r="X78" s="172">
        <v>3</v>
      </c>
      <c r="Y78" s="172" t="s">
        <v>1570</v>
      </c>
      <c r="Z78" s="113">
        <v>2002</v>
      </c>
      <c r="AA78" s="113">
        <v>136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3">
        <v>0</v>
      </c>
      <c r="AI78" s="113">
        <v>0</v>
      </c>
      <c r="AJ78" s="113">
        <v>0</v>
      </c>
      <c r="AK78" s="113">
        <v>0</v>
      </c>
      <c r="AL78" s="113">
        <v>0</v>
      </c>
      <c r="AM78" s="113">
        <v>0</v>
      </c>
      <c r="AN78" s="113">
        <v>0</v>
      </c>
      <c r="AO78" s="113">
        <v>0</v>
      </c>
      <c r="AP78" s="113">
        <v>0</v>
      </c>
      <c r="AQ78" s="113">
        <v>0</v>
      </c>
      <c r="AR78" s="113">
        <v>0</v>
      </c>
      <c r="AS78" s="113">
        <v>0</v>
      </c>
      <c r="AT78" s="113">
        <v>0</v>
      </c>
      <c r="AU78" s="113">
        <v>0</v>
      </c>
      <c r="AV78" s="113">
        <v>0</v>
      </c>
      <c r="AW78" s="113">
        <v>0</v>
      </c>
      <c r="AX78" s="113">
        <v>0</v>
      </c>
      <c r="AY78" s="113">
        <v>0</v>
      </c>
      <c r="AZ78" s="113">
        <v>0</v>
      </c>
      <c r="BA78" s="113">
        <v>0</v>
      </c>
      <c r="BB78" s="113">
        <v>0</v>
      </c>
      <c r="BC78" s="113">
        <v>0</v>
      </c>
      <c r="BD78" s="113">
        <v>0</v>
      </c>
      <c r="BE78" s="113">
        <v>0</v>
      </c>
      <c r="BF78" s="113">
        <v>0</v>
      </c>
      <c r="BG78" s="113">
        <v>0</v>
      </c>
      <c r="BH78" s="113">
        <v>0</v>
      </c>
      <c r="BI78" s="113">
        <v>0</v>
      </c>
      <c r="BJ78" s="113">
        <v>0</v>
      </c>
      <c r="BK78" s="113">
        <v>0</v>
      </c>
      <c r="BL78" s="113">
        <v>0</v>
      </c>
      <c r="BM78" s="113">
        <v>0</v>
      </c>
      <c r="BN78" s="113">
        <v>0</v>
      </c>
      <c r="BO78" s="113">
        <v>0</v>
      </c>
      <c r="BP78" s="113">
        <v>0</v>
      </c>
      <c r="BQ78" s="113">
        <v>0</v>
      </c>
      <c r="BR78" s="113">
        <v>0</v>
      </c>
      <c r="BS78" s="113">
        <v>0</v>
      </c>
      <c r="BT78" s="113">
        <v>0</v>
      </c>
      <c r="BU78" s="113">
        <v>0</v>
      </c>
      <c r="BV78" s="172">
        <v>183</v>
      </c>
      <c r="BW78" s="172">
        <v>59</v>
      </c>
      <c r="BX78" s="172">
        <v>67</v>
      </c>
      <c r="BY78" s="168">
        <v>55</v>
      </c>
      <c r="BZ78" s="181">
        <v>8</v>
      </c>
      <c r="CA78" s="181">
        <v>7</v>
      </c>
      <c r="CB78" s="181">
        <v>0</v>
      </c>
      <c r="CC78" s="181">
        <v>0</v>
      </c>
      <c r="CD78" s="181">
        <v>0</v>
      </c>
      <c r="CE78" s="181">
        <v>0</v>
      </c>
      <c r="CF78" s="181">
        <v>0</v>
      </c>
      <c r="CG78" s="181">
        <v>0</v>
      </c>
      <c r="CH78" s="181">
        <v>0</v>
      </c>
      <c r="CI78" s="181">
        <v>0</v>
      </c>
      <c r="CJ78" s="181">
        <v>0</v>
      </c>
      <c r="CK78" s="181">
        <v>0</v>
      </c>
      <c r="CL78" s="181">
        <v>0</v>
      </c>
      <c r="CM78" s="181">
        <v>0</v>
      </c>
      <c r="CN78" s="181">
        <v>0</v>
      </c>
      <c r="CO78" s="181">
        <v>0</v>
      </c>
      <c r="CP78" s="181">
        <v>0</v>
      </c>
      <c r="CQ78" s="181">
        <v>0</v>
      </c>
      <c r="CR78" s="181">
        <v>0</v>
      </c>
      <c r="CS78" s="181">
        <v>0</v>
      </c>
      <c r="CT78" s="181">
        <v>0</v>
      </c>
      <c r="CU78" s="181">
        <v>0</v>
      </c>
      <c r="CV78" s="181">
        <v>0</v>
      </c>
      <c r="CW78" s="181">
        <v>0</v>
      </c>
      <c r="CX78" s="181">
        <v>0</v>
      </c>
      <c r="CY78" s="181">
        <v>0</v>
      </c>
      <c r="CZ78" s="181">
        <v>0</v>
      </c>
      <c r="DA78" s="181">
        <v>0</v>
      </c>
      <c r="DB78" s="181">
        <v>0</v>
      </c>
      <c r="DC78" s="181">
        <v>0</v>
      </c>
      <c r="DD78" s="181">
        <v>0</v>
      </c>
      <c r="DE78" s="181">
        <v>0</v>
      </c>
      <c r="DF78" s="181">
        <v>0</v>
      </c>
      <c r="DG78" s="181">
        <v>0</v>
      </c>
      <c r="DH78" s="181">
        <v>0</v>
      </c>
      <c r="DI78" s="181">
        <v>0</v>
      </c>
      <c r="DJ78" s="181">
        <v>0</v>
      </c>
      <c r="DK78" s="181">
        <v>0</v>
      </c>
      <c r="DL78" s="181">
        <v>0</v>
      </c>
      <c r="DM78" s="181">
        <v>0</v>
      </c>
      <c r="DN78" s="181">
        <v>0</v>
      </c>
      <c r="DO78" s="181">
        <v>0</v>
      </c>
      <c r="DP78" s="181">
        <v>0</v>
      </c>
      <c r="DQ78" s="181">
        <v>0</v>
      </c>
      <c r="DR78" s="181">
        <v>0</v>
      </c>
      <c r="DS78" s="181">
        <v>0</v>
      </c>
      <c r="DT78" s="181">
        <v>0</v>
      </c>
      <c r="DU78" s="181">
        <v>0</v>
      </c>
      <c r="DV78" s="181">
        <v>11</v>
      </c>
      <c r="DW78" s="181">
        <v>3</v>
      </c>
      <c r="DX78" s="181">
        <v>10</v>
      </c>
      <c r="DY78" s="181">
        <v>10</v>
      </c>
    </row>
    <row r="79" spans="2:129" ht="13.5">
      <c r="B79" s="187"/>
      <c r="C79" s="187"/>
      <c r="D79" s="187"/>
      <c r="E79" s="187"/>
      <c r="F79" s="187"/>
      <c r="G79" s="187"/>
      <c r="H79" s="187"/>
      <c r="I79" s="199"/>
      <c r="J79" s="199"/>
      <c r="K79" s="199"/>
      <c r="L79" s="199"/>
      <c r="M79" s="187"/>
      <c r="N79" s="188"/>
      <c r="O79" s="172" t="s">
        <v>42</v>
      </c>
      <c r="P79" s="172" t="s">
        <v>1542</v>
      </c>
      <c r="Q79" s="172" t="s">
        <v>1427</v>
      </c>
      <c r="R79" s="172" t="s">
        <v>1428</v>
      </c>
      <c r="S79" s="172">
        <v>1</v>
      </c>
      <c r="U79" s="172" t="s">
        <v>41</v>
      </c>
      <c r="V79" s="172" t="s">
        <v>1541</v>
      </c>
      <c r="W79" s="172" t="s">
        <v>1503</v>
      </c>
      <c r="X79" s="172">
        <v>4</v>
      </c>
      <c r="Y79" s="172" t="s">
        <v>1571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0</v>
      </c>
      <c r="AN79" s="113">
        <v>0</v>
      </c>
      <c r="AO79" s="113">
        <v>0</v>
      </c>
      <c r="AP79" s="113">
        <v>0</v>
      </c>
      <c r="AQ79" s="113">
        <v>0</v>
      </c>
      <c r="AR79" s="113">
        <v>20</v>
      </c>
      <c r="AS79" s="113">
        <v>15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  <c r="BD79" s="113">
        <v>0</v>
      </c>
      <c r="BE79" s="113">
        <v>0</v>
      </c>
      <c r="BF79" s="113">
        <v>0</v>
      </c>
      <c r="BG79" s="113">
        <v>0</v>
      </c>
      <c r="BH79" s="113">
        <v>0</v>
      </c>
      <c r="BI79" s="113">
        <v>0</v>
      </c>
      <c r="BJ79" s="113">
        <v>0</v>
      </c>
      <c r="BK79" s="113">
        <v>0</v>
      </c>
      <c r="BL79" s="113">
        <v>0</v>
      </c>
      <c r="BM79" s="113">
        <v>0</v>
      </c>
      <c r="BN79" s="113">
        <v>0</v>
      </c>
      <c r="BO79" s="113">
        <v>0</v>
      </c>
      <c r="BP79" s="113">
        <v>0</v>
      </c>
      <c r="BQ79" s="113">
        <v>0</v>
      </c>
      <c r="BR79" s="113">
        <v>0</v>
      </c>
      <c r="BS79" s="113">
        <v>0</v>
      </c>
      <c r="BT79" s="113">
        <v>0</v>
      </c>
      <c r="BU79" s="113">
        <v>0</v>
      </c>
      <c r="BV79" s="172">
        <v>0</v>
      </c>
      <c r="BW79" s="172">
        <v>0</v>
      </c>
      <c r="BX79" s="172">
        <v>0</v>
      </c>
      <c r="BY79" s="168">
        <v>0</v>
      </c>
      <c r="BZ79" s="181">
        <v>0</v>
      </c>
      <c r="CA79" s="181">
        <v>0</v>
      </c>
      <c r="CB79" s="181">
        <v>0</v>
      </c>
      <c r="CC79" s="181">
        <v>0</v>
      </c>
      <c r="CD79" s="181">
        <v>0</v>
      </c>
      <c r="CE79" s="181">
        <v>0</v>
      </c>
      <c r="CF79" s="181">
        <v>0</v>
      </c>
      <c r="CG79" s="181">
        <v>0</v>
      </c>
      <c r="CH79" s="181">
        <v>0</v>
      </c>
      <c r="CI79" s="181">
        <v>0</v>
      </c>
      <c r="CJ79" s="181">
        <v>0</v>
      </c>
      <c r="CK79" s="181">
        <v>0</v>
      </c>
      <c r="CL79" s="181">
        <v>0</v>
      </c>
      <c r="CM79" s="181">
        <v>0</v>
      </c>
      <c r="CN79" s="181">
        <v>0</v>
      </c>
      <c r="CO79" s="181">
        <v>0</v>
      </c>
      <c r="CP79" s="181">
        <v>0</v>
      </c>
      <c r="CQ79" s="181">
        <v>0</v>
      </c>
      <c r="CR79" s="181">
        <v>8</v>
      </c>
      <c r="CS79" s="181">
        <v>0</v>
      </c>
      <c r="CT79" s="181">
        <v>0</v>
      </c>
      <c r="CU79" s="181">
        <v>0</v>
      </c>
      <c r="CV79" s="181">
        <v>0</v>
      </c>
      <c r="CW79" s="181">
        <v>0</v>
      </c>
      <c r="CX79" s="181">
        <v>0</v>
      </c>
      <c r="CY79" s="181">
        <v>0</v>
      </c>
      <c r="CZ79" s="181">
        <v>0</v>
      </c>
      <c r="DA79" s="181">
        <v>0</v>
      </c>
      <c r="DB79" s="181">
        <v>0</v>
      </c>
      <c r="DC79" s="181">
        <v>0</v>
      </c>
      <c r="DD79" s="181">
        <v>0</v>
      </c>
      <c r="DE79" s="181">
        <v>0</v>
      </c>
      <c r="DF79" s="181">
        <v>0</v>
      </c>
      <c r="DG79" s="181">
        <v>0</v>
      </c>
      <c r="DH79" s="181">
        <v>0</v>
      </c>
      <c r="DI79" s="181">
        <v>0</v>
      </c>
      <c r="DJ79" s="181">
        <v>0</v>
      </c>
      <c r="DK79" s="181">
        <v>0</v>
      </c>
      <c r="DL79" s="181">
        <v>0</v>
      </c>
      <c r="DM79" s="181">
        <v>0</v>
      </c>
      <c r="DN79" s="181">
        <v>0</v>
      </c>
      <c r="DO79" s="181">
        <v>0</v>
      </c>
      <c r="DP79" s="181">
        <v>0</v>
      </c>
      <c r="DQ79" s="181">
        <v>0</v>
      </c>
      <c r="DR79" s="181">
        <v>0</v>
      </c>
      <c r="DS79" s="181">
        <v>0</v>
      </c>
      <c r="DT79" s="181">
        <v>0</v>
      </c>
      <c r="DU79" s="181">
        <v>0</v>
      </c>
      <c r="DV79" s="181">
        <v>0</v>
      </c>
      <c r="DW79" s="181">
        <v>0</v>
      </c>
      <c r="DX79" s="181">
        <v>0</v>
      </c>
      <c r="DY79" s="181">
        <v>0</v>
      </c>
    </row>
    <row r="80" spans="9:129" ht="13.5">
      <c r="I80" s="169"/>
      <c r="J80" s="169"/>
      <c r="K80" s="169"/>
      <c r="M80" s="187"/>
      <c r="N80" s="188"/>
      <c r="O80" s="172" t="s">
        <v>42</v>
      </c>
      <c r="P80" s="172" t="s">
        <v>1542</v>
      </c>
      <c r="Q80" s="172" t="s">
        <v>1430</v>
      </c>
      <c r="R80" s="172" t="s">
        <v>1431</v>
      </c>
      <c r="S80" s="172">
        <v>2</v>
      </c>
      <c r="U80" s="172" t="s">
        <v>41</v>
      </c>
      <c r="V80" s="172" t="s">
        <v>1541</v>
      </c>
      <c r="W80" s="172" t="s">
        <v>1517</v>
      </c>
      <c r="X80" s="172">
        <v>5</v>
      </c>
      <c r="Y80" s="172" t="s">
        <v>1572</v>
      </c>
      <c r="Z80" s="113">
        <v>0</v>
      </c>
      <c r="AA80" s="113">
        <v>0</v>
      </c>
      <c r="AB80" s="113">
        <v>0</v>
      </c>
      <c r="AC80" s="113">
        <v>2</v>
      </c>
      <c r="AD80" s="113">
        <v>94</v>
      </c>
      <c r="AE80" s="113">
        <v>15</v>
      </c>
      <c r="AF80" s="113">
        <v>0</v>
      </c>
      <c r="AG80" s="113">
        <v>0</v>
      </c>
      <c r="AH80" s="113">
        <v>0</v>
      </c>
      <c r="AI80" s="113">
        <v>0</v>
      </c>
      <c r="AJ80" s="113">
        <v>29</v>
      </c>
      <c r="AK80" s="113">
        <v>3</v>
      </c>
      <c r="AL80" s="113">
        <v>0</v>
      </c>
      <c r="AM80" s="113">
        <v>0</v>
      </c>
      <c r="AN80" s="113">
        <v>0</v>
      </c>
      <c r="AO80" s="113">
        <v>0</v>
      </c>
      <c r="AP80" s="113">
        <v>0</v>
      </c>
      <c r="AQ80" s="113">
        <v>0</v>
      </c>
      <c r="AR80" s="113">
        <v>90</v>
      </c>
      <c r="AS80" s="113">
        <v>43</v>
      </c>
      <c r="AT80" s="113">
        <v>258</v>
      </c>
      <c r="AU80" s="113">
        <v>51</v>
      </c>
      <c r="AV80" s="113">
        <v>330</v>
      </c>
      <c r="AW80" s="113">
        <v>69</v>
      </c>
      <c r="AX80" s="113">
        <v>35</v>
      </c>
      <c r="AY80" s="113">
        <v>12</v>
      </c>
      <c r="AZ80" s="113">
        <v>118</v>
      </c>
      <c r="BA80" s="113">
        <v>30</v>
      </c>
      <c r="BB80" s="113">
        <v>0</v>
      </c>
      <c r="BC80" s="113">
        <v>0</v>
      </c>
      <c r="BD80" s="113">
        <v>0</v>
      </c>
      <c r="BE80" s="113">
        <v>0</v>
      </c>
      <c r="BF80" s="113">
        <v>13</v>
      </c>
      <c r="BG80" s="113">
        <v>4</v>
      </c>
      <c r="BH80" s="113">
        <v>0</v>
      </c>
      <c r="BI80" s="113">
        <v>0</v>
      </c>
      <c r="BJ80" s="113">
        <v>0</v>
      </c>
      <c r="BK80" s="113">
        <v>0</v>
      </c>
      <c r="BL80" s="113">
        <v>35</v>
      </c>
      <c r="BM80" s="113">
        <v>10</v>
      </c>
      <c r="BN80" s="113">
        <v>0</v>
      </c>
      <c r="BO80" s="113">
        <v>0</v>
      </c>
      <c r="BP80" s="113">
        <v>5</v>
      </c>
      <c r="BQ80" s="113">
        <v>1</v>
      </c>
      <c r="BR80" s="113">
        <v>0</v>
      </c>
      <c r="BS80" s="113">
        <v>2</v>
      </c>
      <c r="BT80" s="113">
        <v>6</v>
      </c>
      <c r="BU80" s="113">
        <v>2</v>
      </c>
      <c r="BV80" s="172">
        <v>0</v>
      </c>
      <c r="BW80" s="172">
        <v>0</v>
      </c>
      <c r="BX80" s="172">
        <v>0</v>
      </c>
      <c r="BY80" s="168">
        <v>0</v>
      </c>
      <c r="BZ80" s="181">
        <v>0</v>
      </c>
      <c r="CA80" s="181">
        <v>0</v>
      </c>
      <c r="CB80" s="181">
        <v>0</v>
      </c>
      <c r="CC80" s="181">
        <v>0</v>
      </c>
      <c r="CD80" s="181">
        <v>4</v>
      </c>
      <c r="CE80" s="181">
        <v>4</v>
      </c>
      <c r="CF80" s="181">
        <v>0</v>
      </c>
      <c r="CG80" s="181">
        <v>0</v>
      </c>
      <c r="CH80" s="181">
        <v>0</v>
      </c>
      <c r="CI80" s="181">
        <v>0</v>
      </c>
      <c r="CJ80" s="181">
        <v>11</v>
      </c>
      <c r="CK80" s="181">
        <v>8</v>
      </c>
      <c r="CL80" s="181">
        <v>0</v>
      </c>
      <c r="CM80" s="181">
        <v>0</v>
      </c>
      <c r="CN80" s="181">
        <v>0</v>
      </c>
      <c r="CO80" s="181">
        <v>0</v>
      </c>
      <c r="CP80" s="181">
        <v>0</v>
      </c>
      <c r="CQ80" s="181">
        <v>0</v>
      </c>
      <c r="CR80" s="181">
        <v>0</v>
      </c>
      <c r="CS80" s="181">
        <v>0</v>
      </c>
      <c r="CT80" s="181">
        <v>5</v>
      </c>
      <c r="CU80" s="181">
        <v>4</v>
      </c>
      <c r="CV80" s="181">
        <v>4</v>
      </c>
      <c r="CW80" s="181">
        <v>2</v>
      </c>
      <c r="CX80" s="181">
        <v>12</v>
      </c>
      <c r="CY80" s="181">
        <v>12</v>
      </c>
      <c r="CZ80" s="181">
        <v>10</v>
      </c>
      <c r="DA80" s="181">
        <v>4</v>
      </c>
      <c r="DB80" s="181">
        <v>0</v>
      </c>
      <c r="DC80" s="181">
        <v>0</v>
      </c>
      <c r="DD80" s="181">
        <v>0</v>
      </c>
      <c r="DE80" s="181">
        <v>0</v>
      </c>
      <c r="DF80" s="181">
        <v>12</v>
      </c>
      <c r="DG80" s="181">
        <v>5</v>
      </c>
      <c r="DH80" s="181">
        <v>0</v>
      </c>
      <c r="DI80" s="181">
        <v>0</v>
      </c>
      <c r="DJ80" s="181">
        <v>0</v>
      </c>
      <c r="DK80" s="181">
        <v>0</v>
      </c>
      <c r="DL80" s="181">
        <v>3</v>
      </c>
      <c r="DM80" s="181">
        <v>0</v>
      </c>
      <c r="DN80" s="181">
        <v>0</v>
      </c>
      <c r="DO80" s="181">
        <v>0</v>
      </c>
      <c r="DP80" s="181">
        <v>2</v>
      </c>
      <c r="DQ80" s="181">
        <v>2</v>
      </c>
      <c r="DR80" s="181">
        <v>0</v>
      </c>
      <c r="DS80" s="181">
        <v>0</v>
      </c>
      <c r="DT80" s="181">
        <v>10</v>
      </c>
      <c r="DU80" s="181">
        <v>6</v>
      </c>
      <c r="DV80" s="181">
        <v>0</v>
      </c>
      <c r="DW80" s="181">
        <v>0</v>
      </c>
      <c r="DX80" s="181">
        <v>0</v>
      </c>
      <c r="DY80" s="181">
        <v>0</v>
      </c>
    </row>
    <row r="81" spans="9:129" ht="13.5">
      <c r="I81" s="169"/>
      <c r="J81" s="169"/>
      <c r="K81" s="169"/>
      <c r="M81" s="187"/>
      <c r="N81" s="188"/>
      <c r="O81" s="172" t="s">
        <v>42</v>
      </c>
      <c r="P81" s="172" t="s">
        <v>1542</v>
      </c>
      <c r="Q81" s="172" t="s">
        <v>316</v>
      </c>
      <c r="R81" s="172" t="s">
        <v>317</v>
      </c>
      <c r="S81" s="172">
        <v>3</v>
      </c>
      <c r="U81" s="172" t="s">
        <v>41</v>
      </c>
      <c r="V81" s="172" t="s">
        <v>1541</v>
      </c>
      <c r="W81" s="172" t="s">
        <v>1526</v>
      </c>
      <c r="X81" s="172">
        <v>6</v>
      </c>
      <c r="Y81" s="172" t="s">
        <v>1573</v>
      </c>
      <c r="Z81" s="113">
        <v>0</v>
      </c>
      <c r="AA81" s="113">
        <v>0</v>
      </c>
      <c r="AB81" s="113">
        <v>2241</v>
      </c>
      <c r="AC81" s="113">
        <v>394</v>
      </c>
      <c r="AD81" s="113">
        <v>379</v>
      </c>
      <c r="AE81" s="113">
        <v>70</v>
      </c>
      <c r="AF81" s="113">
        <v>53</v>
      </c>
      <c r="AG81" s="113">
        <v>13</v>
      </c>
      <c r="AH81" s="113">
        <v>0</v>
      </c>
      <c r="AI81" s="113">
        <v>0</v>
      </c>
      <c r="AJ81" s="113">
        <v>304</v>
      </c>
      <c r="AK81" s="113">
        <v>82</v>
      </c>
      <c r="AL81" s="113">
        <v>78</v>
      </c>
      <c r="AM81" s="113">
        <v>5</v>
      </c>
      <c r="AN81" s="113">
        <v>263</v>
      </c>
      <c r="AO81" s="113">
        <v>51</v>
      </c>
      <c r="AP81" s="113">
        <v>0</v>
      </c>
      <c r="AQ81" s="113">
        <v>0</v>
      </c>
      <c r="AR81" s="113">
        <v>987</v>
      </c>
      <c r="AS81" s="113">
        <v>184</v>
      </c>
      <c r="AT81" s="113">
        <v>475</v>
      </c>
      <c r="AU81" s="113">
        <v>103</v>
      </c>
      <c r="AV81" s="113">
        <v>2720</v>
      </c>
      <c r="AW81" s="113">
        <v>541</v>
      </c>
      <c r="AX81" s="113">
        <v>51</v>
      </c>
      <c r="AY81" s="113">
        <v>0</v>
      </c>
      <c r="AZ81" s="113">
        <v>0</v>
      </c>
      <c r="BA81" s="113">
        <v>0</v>
      </c>
      <c r="BB81" s="113">
        <v>0</v>
      </c>
      <c r="BC81" s="113">
        <v>0</v>
      </c>
      <c r="BD81" s="113">
        <v>0</v>
      </c>
      <c r="BE81" s="113">
        <v>0</v>
      </c>
      <c r="BF81" s="113">
        <v>0</v>
      </c>
      <c r="BG81" s="113">
        <v>0</v>
      </c>
      <c r="BH81" s="113">
        <v>1574</v>
      </c>
      <c r="BI81" s="113">
        <v>382</v>
      </c>
      <c r="BJ81" s="113">
        <v>0</v>
      </c>
      <c r="BK81" s="113">
        <v>0</v>
      </c>
      <c r="BL81" s="113">
        <v>534</v>
      </c>
      <c r="BM81" s="113">
        <v>112</v>
      </c>
      <c r="BN81" s="113">
        <v>0</v>
      </c>
      <c r="BO81" s="113">
        <v>0</v>
      </c>
      <c r="BP81" s="113">
        <v>66</v>
      </c>
      <c r="BQ81" s="113">
        <v>13</v>
      </c>
      <c r="BR81" s="113">
        <v>778</v>
      </c>
      <c r="BS81" s="113">
        <v>229</v>
      </c>
      <c r="BT81" s="113">
        <v>613</v>
      </c>
      <c r="BU81" s="113">
        <v>148</v>
      </c>
      <c r="BV81" s="172">
        <v>16</v>
      </c>
      <c r="BW81" s="172">
        <v>2</v>
      </c>
      <c r="BX81" s="172">
        <v>12</v>
      </c>
      <c r="BY81" s="168">
        <v>3</v>
      </c>
      <c r="BZ81" s="181">
        <v>0</v>
      </c>
      <c r="CA81" s="181">
        <v>0</v>
      </c>
      <c r="CB81" s="181">
        <v>11</v>
      </c>
      <c r="CC81" s="181">
        <v>7</v>
      </c>
      <c r="CD81" s="181">
        <v>12</v>
      </c>
      <c r="CE81" s="181">
        <v>12</v>
      </c>
      <c r="CF81" s="181">
        <v>6</v>
      </c>
      <c r="CG81" s="181">
        <v>3</v>
      </c>
      <c r="CH81" s="181">
        <v>0</v>
      </c>
      <c r="CI81" s="181">
        <v>0</v>
      </c>
      <c r="CJ81" s="181">
        <v>9</v>
      </c>
      <c r="CK81" s="181">
        <v>3</v>
      </c>
      <c r="CL81" s="181">
        <v>6</v>
      </c>
      <c r="CM81" s="181">
        <v>6</v>
      </c>
      <c r="CN81" s="181">
        <v>5</v>
      </c>
      <c r="CO81" s="181">
        <v>5</v>
      </c>
      <c r="CP81" s="181">
        <v>0</v>
      </c>
      <c r="CQ81" s="181">
        <v>0</v>
      </c>
      <c r="CR81" s="181">
        <v>1</v>
      </c>
      <c r="CS81" s="181">
        <v>0</v>
      </c>
      <c r="CT81" s="181">
        <v>7</v>
      </c>
      <c r="CU81" s="181">
        <v>2</v>
      </c>
      <c r="CV81" s="181">
        <v>7</v>
      </c>
      <c r="CW81" s="181">
        <v>2</v>
      </c>
      <c r="CX81" s="181">
        <v>2</v>
      </c>
      <c r="CY81" s="181">
        <v>0</v>
      </c>
      <c r="CZ81" s="181">
        <v>0</v>
      </c>
      <c r="DA81" s="181">
        <v>0</v>
      </c>
      <c r="DB81" s="181">
        <v>0</v>
      </c>
      <c r="DC81" s="181">
        <v>0</v>
      </c>
      <c r="DD81" s="181">
        <v>0</v>
      </c>
      <c r="DE81" s="181">
        <v>0</v>
      </c>
      <c r="DF81" s="181">
        <v>0</v>
      </c>
      <c r="DG81" s="181">
        <v>0</v>
      </c>
      <c r="DH81" s="181">
        <v>11</v>
      </c>
      <c r="DI81" s="181">
        <v>11</v>
      </c>
      <c r="DJ81" s="181">
        <v>0</v>
      </c>
      <c r="DK81" s="181">
        <v>0</v>
      </c>
      <c r="DL81" s="181">
        <v>4</v>
      </c>
      <c r="DM81" s="181">
        <v>0</v>
      </c>
      <c r="DN81" s="181">
        <v>0</v>
      </c>
      <c r="DO81" s="181">
        <v>0</v>
      </c>
      <c r="DP81" s="181">
        <v>9</v>
      </c>
      <c r="DQ81" s="181">
        <v>5</v>
      </c>
      <c r="DR81" s="181">
        <v>3</v>
      </c>
      <c r="DS81" s="181">
        <v>1</v>
      </c>
      <c r="DT81" s="181">
        <v>6</v>
      </c>
      <c r="DU81" s="181">
        <v>2</v>
      </c>
      <c r="DV81" s="181">
        <v>2</v>
      </c>
      <c r="DW81" s="181">
        <v>2</v>
      </c>
      <c r="DX81" s="181">
        <v>3</v>
      </c>
      <c r="DY81" s="181">
        <v>2</v>
      </c>
    </row>
    <row r="82" spans="9:129" ht="13.5">
      <c r="I82" s="169"/>
      <c r="J82" s="169"/>
      <c r="K82" s="169"/>
      <c r="M82" s="187"/>
      <c r="N82" s="188"/>
      <c r="O82" s="172" t="s">
        <v>42</v>
      </c>
      <c r="P82" s="172" t="s">
        <v>1542</v>
      </c>
      <c r="Q82" s="172" t="s">
        <v>323</v>
      </c>
      <c r="R82" s="172" t="s">
        <v>324</v>
      </c>
      <c r="S82" s="172">
        <v>4</v>
      </c>
      <c r="U82" s="172" t="s">
        <v>41</v>
      </c>
      <c r="V82" s="172" t="s">
        <v>1541</v>
      </c>
      <c r="W82" s="172" t="s">
        <v>329</v>
      </c>
      <c r="X82" s="172">
        <v>7</v>
      </c>
      <c r="Y82" s="172" t="s">
        <v>1574</v>
      </c>
      <c r="Z82" s="113">
        <v>0</v>
      </c>
      <c r="AA82" s="113">
        <v>0</v>
      </c>
      <c r="AB82" s="113">
        <v>222</v>
      </c>
      <c r="AC82" s="113">
        <v>93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113">
        <v>0</v>
      </c>
      <c r="BD82" s="113">
        <v>0</v>
      </c>
      <c r="BE82" s="113">
        <v>0</v>
      </c>
      <c r="BF82" s="113">
        <v>0</v>
      </c>
      <c r="BG82" s="113">
        <v>0</v>
      </c>
      <c r="BH82" s="113">
        <v>0</v>
      </c>
      <c r="BI82" s="113">
        <v>0</v>
      </c>
      <c r="BJ82" s="113">
        <v>0</v>
      </c>
      <c r="BK82" s="113">
        <v>0</v>
      </c>
      <c r="BL82" s="113">
        <v>0</v>
      </c>
      <c r="BM82" s="113">
        <v>0</v>
      </c>
      <c r="BN82" s="113">
        <v>0</v>
      </c>
      <c r="BO82" s="113">
        <v>0</v>
      </c>
      <c r="BP82" s="113">
        <v>0</v>
      </c>
      <c r="BQ82" s="113">
        <v>0</v>
      </c>
      <c r="BR82" s="113">
        <v>0</v>
      </c>
      <c r="BS82" s="113">
        <v>0</v>
      </c>
      <c r="BT82" s="113">
        <v>0</v>
      </c>
      <c r="BU82" s="113">
        <v>0</v>
      </c>
      <c r="BV82" s="172">
        <v>462</v>
      </c>
      <c r="BW82" s="172">
        <v>107</v>
      </c>
      <c r="BX82" s="172">
        <v>63</v>
      </c>
      <c r="BY82" s="168">
        <v>24</v>
      </c>
      <c r="BZ82" s="181">
        <v>0</v>
      </c>
      <c r="CA82" s="181">
        <v>0</v>
      </c>
      <c r="CB82" s="181">
        <v>6</v>
      </c>
      <c r="CC82" s="181">
        <v>5</v>
      </c>
      <c r="CD82" s="181">
        <v>0</v>
      </c>
      <c r="CE82" s="181">
        <v>0</v>
      </c>
      <c r="CF82" s="181">
        <v>0</v>
      </c>
      <c r="CG82" s="181">
        <v>0</v>
      </c>
      <c r="CH82" s="181">
        <v>0</v>
      </c>
      <c r="CI82" s="181">
        <v>0</v>
      </c>
      <c r="CJ82" s="181">
        <v>0</v>
      </c>
      <c r="CK82" s="181">
        <v>0</v>
      </c>
      <c r="CL82" s="181">
        <v>0</v>
      </c>
      <c r="CM82" s="181">
        <v>0</v>
      </c>
      <c r="CN82" s="181">
        <v>0</v>
      </c>
      <c r="CO82" s="181">
        <v>0</v>
      </c>
      <c r="CP82" s="181">
        <v>0</v>
      </c>
      <c r="CQ82" s="181">
        <v>0</v>
      </c>
      <c r="CR82" s="181">
        <v>0</v>
      </c>
      <c r="CS82" s="181">
        <v>0</v>
      </c>
      <c r="CT82" s="181">
        <v>0</v>
      </c>
      <c r="CU82" s="181">
        <v>0</v>
      </c>
      <c r="CV82" s="181">
        <v>0</v>
      </c>
      <c r="CW82" s="181">
        <v>0</v>
      </c>
      <c r="CX82" s="181">
        <v>0</v>
      </c>
      <c r="CY82" s="181">
        <v>0</v>
      </c>
      <c r="CZ82" s="181">
        <v>0</v>
      </c>
      <c r="DA82" s="181">
        <v>0</v>
      </c>
      <c r="DB82" s="181">
        <v>0</v>
      </c>
      <c r="DC82" s="181">
        <v>0</v>
      </c>
      <c r="DD82" s="181">
        <v>0</v>
      </c>
      <c r="DE82" s="181">
        <v>0</v>
      </c>
      <c r="DF82" s="181">
        <v>0</v>
      </c>
      <c r="DG82" s="181">
        <v>0</v>
      </c>
      <c r="DH82" s="181">
        <v>0</v>
      </c>
      <c r="DI82" s="181">
        <v>0</v>
      </c>
      <c r="DJ82" s="181">
        <v>0</v>
      </c>
      <c r="DK82" s="181">
        <v>0</v>
      </c>
      <c r="DL82" s="181">
        <v>0</v>
      </c>
      <c r="DM82" s="181">
        <v>0</v>
      </c>
      <c r="DN82" s="181">
        <v>0</v>
      </c>
      <c r="DO82" s="181">
        <v>0</v>
      </c>
      <c r="DP82" s="181">
        <v>0</v>
      </c>
      <c r="DQ82" s="181">
        <v>0</v>
      </c>
      <c r="DR82" s="181">
        <v>0</v>
      </c>
      <c r="DS82" s="181">
        <v>0</v>
      </c>
      <c r="DT82" s="181">
        <v>0</v>
      </c>
      <c r="DU82" s="181">
        <v>0</v>
      </c>
      <c r="DV82" s="181">
        <v>9</v>
      </c>
      <c r="DW82" s="181">
        <v>3</v>
      </c>
      <c r="DX82" s="181">
        <v>4</v>
      </c>
      <c r="DY82" s="181">
        <v>0</v>
      </c>
    </row>
    <row r="83" spans="9:129" ht="13.5">
      <c r="I83" s="169"/>
      <c r="J83" s="169"/>
      <c r="K83" s="169"/>
      <c r="M83" s="187"/>
      <c r="N83" s="188"/>
      <c r="O83" s="172" t="s">
        <v>42</v>
      </c>
      <c r="P83" s="172" t="s">
        <v>1542</v>
      </c>
      <c r="Q83" s="172" t="s">
        <v>1454</v>
      </c>
      <c r="R83" s="172" t="s">
        <v>1455</v>
      </c>
      <c r="S83" s="172">
        <v>5</v>
      </c>
      <c r="U83" s="172" t="s">
        <v>42</v>
      </c>
      <c r="V83" s="172" t="s">
        <v>1542</v>
      </c>
      <c r="W83" s="172" t="s">
        <v>1427</v>
      </c>
      <c r="X83" s="172">
        <v>1</v>
      </c>
      <c r="Y83" s="172" t="s">
        <v>1575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189</v>
      </c>
      <c r="AQ83" s="113">
        <v>31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113">
        <v>0</v>
      </c>
      <c r="BD83" s="113">
        <v>0</v>
      </c>
      <c r="BE83" s="113">
        <v>0</v>
      </c>
      <c r="BF83" s="113">
        <v>0</v>
      </c>
      <c r="BG83" s="113">
        <v>0</v>
      </c>
      <c r="BH83" s="113">
        <v>6029</v>
      </c>
      <c r="BI83" s="113">
        <v>943</v>
      </c>
      <c r="BJ83" s="113">
        <v>0</v>
      </c>
      <c r="BK83" s="113">
        <v>0</v>
      </c>
      <c r="BL83" s="113">
        <v>0</v>
      </c>
      <c r="BM83" s="113">
        <v>0</v>
      </c>
      <c r="BN83" s="113">
        <v>0</v>
      </c>
      <c r="BO83" s="113">
        <v>0</v>
      </c>
      <c r="BP83" s="113">
        <v>0</v>
      </c>
      <c r="BQ83" s="113">
        <v>0</v>
      </c>
      <c r="BR83" s="113">
        <v>25</v>
      </c>
      <c r="BS83" s="113">
        <v>3</v>
      </c>
      <c r="BT83" s="113">
        <v>177</v>
      </c>
      <c r="BU83" s="113">
        <v>34</v>
      </c>
      <c r="BV83" s="172">
        <v>0</v>
      </c>
      <c r="BW83" s="172">
        <v>0</v>
      </c>
      <c r="BX83" s="172">
        <v>0</v>
      </c>
      <c r="BY83" s="168">
        <v>0</v>
      </c>
      <c r="BZ83" s="181">
        <v>0</v>
      </c>
      <c r="CA83" s="181">
        <v>0</v>
      </c>
      <c r="CB83" s="181">
        <v>0</v>
      </c>
      <c r="CC83" s="181">
        <v>0</v>
      </c>
      <c r="CD83" s="181">
        <v>0</v>
      </c>
      <c r="CE83" s="181">
        <v>0</v>
      </c>
      <c r="CF83" s="181">
        <v>0</v>
      </c>
      <c r="CG83" s="181">
        <v>0</v>
      </c>
      <c r="CH83" s="181">
        <v>0</v>
      </c>
      <c r="CI83" s="181">
        <v>0</v>
      </c>
      <c r="CJ83" s="181">
        <v>0</v>
      </c>
      <c r="CK83" s="181">
        <v>0</v>
      </c>
      <c r="CL83" s="181">
        <v>0</v>
      </c>
      <c r="CM83" s="181">
        <v>0</v>
      </c>
      <c r="CN83" s="181">
        <v>0</v>
      </c>
      <c r="CO83" s="181">
        <v>0</v>
      </c>
      <c r="CP83" s="181">
        <v>5</v>
      </c>
      <c r="CQ83" s="181">
        <v>0</v>
      </c>
      <c r="CR83" s="181">
        <v>0</v>
      </c>
      <c r="CS83" s="181">
        <v>0</v>
      </c>
      <c r="CT83" s="181">
        <v>0</v>
      </c>
      <c r="CU83" s="181">
        <v>0</v>
      </c>
      <c r="CV83" s="181">
        <v>0</v>
      </c>
      <c r="CW83" s="181">
        <v>0</v>
      </c>
      <c r="CX83" s="181">
        <v>0</v>
      </c>
      <c r="CY83" s="181">
        <v>0</v>
      </c>
      <c r="CZ83" s="181">
        <v>0</v>
      </c>
      <c r="DA83" s="181">
        <v>0</v>
      </c>
      <c r="DB83" s="181">
        <v>0</v>
      </c>
      <c r="DC83" s="181">
        <v>0</v>
      </c>
      <c r="DD83" s="181">
        <v>0</v>
      </c>
      <c r="DE83" s="181">
        <v>0</v>
      </c>
      <c r="DF83" s="181">
        <v>0</v>
      </c>
      <c r="DG83" s="181">
        <v>0</v>
      </c>
      <c r="DH83" s="181">
        <v>11</v>
      </c>
      <c r="DI83" s="181">
        <v>5</v>
      </c>
      <c r="DJ83" s="181">
        <v>0</v>
      </c>
      <c r="DK83" s="181">
        <v>0</v>
      </c>
      <c r="DL83" s="181">
        <v>0</v>
      </c>
      <c r="DM83" s="181">
        <v>0</v>
      </c>
      <c r="DN83" s="181">
        <v>0</v>
      </c>
      <c r="DO83" s="181">
        <v>0</v>
      </c>
      <c r="DP83" s="181">
        <v>0</v>
      </c>
      <c r="DQ83" s="181">
        <v>0</v>
      </c>
      <c r="DR83" s="181">
        <v>3</v>
      </c>
      <c r="DS83" s="181">
        <v>3</v>
      </c>
      <c r="DT83" s="181">
        <v>8</v>
      </c>
      <c r="DU83" s="181">
        <v>7</v>
      </c>
      <c r="DV83" s="181">
        <v>0</v>
      </c>
      <c r="DW83" s="181">
        <v>0</v>
      </c>
      <c r="DX83" s="181">
        <v>0</v>
      </c>
      <c r="DY83" s="181">
        <v>0</v>
      </c>
    </row>
    <row r="84" spans="9:129" ht="13.5">
      <c r="I84" s="169"/>
      <c r="J84" s="169"/>
      <c r="K84" s="169"/>
      <c r="M84" s="187"/>
      <c r="N84" s="188"/>
      <c r="O84" s="172" t="s">
        <v>42</v>
      </c>
      <c r="P84" s="172" t="s">
        <v>1542</v>
      </c>
      <c r="Q84" s="172" t="s">
        <v>336</v>
      </c>
      <c r="R84" s="172" t="s">
        <v>337</v>
      </c>
      <c r="S84" s="172">
        <v>6</v>
      </c>
      <c r="U84" s="172" t="s">
        <v>42</v>
      </c>
      <c r="V84" s="172" t="s">
        <v>1542</v>
      </c>
      <c r="W84" s="172" t="s">
        <v>1430</v>
      </c>
      <c r="X84" s="172">
        <v>2</v>
      </c>
      <c r="Y84" s="172" t="s">
        <v>1576</v>
      </c>
      <c r="Z84" s="113">
        <v>0</v>
      </c>
      <c r="AA84" s="113">
        <v>0</v>
      </c>
      <c r="AB84" s="113">
        <v>977</v>
      </c>
      <c r="AC84" s="113">
        <v>186</v>
      </c>
      <c r="AD84" s="113">
        <v>2444</v>
      </c>
      <c r="AE84" s="113">
        <v>342</v>
      </c>
      <c r="AF84" s="113">
        <v>0</v>
      </c>
      <c r="AG84" s="113">
        <v>0</v>
      </c>
      <c r="AH84" s="113">
        <v>1318</v>
      </c>
      <c r="AI84" s="113">
        <v>184</v>
      </c>
      <c r="AJ84" s="113">
        <v>1851</v>
      </c>
      <c r="AK84" s="113">
        <v>341</v>
      </c>
      <c r="AL84" s="113">
        <v>3342</v>
      </c>
      <c r="AM84" s="113">
        <v>563</v>
      </c>
      <c r="AN84" s="113">
        <v>0</v>
      </c>
      <c r="AO84" s="113">
        <v>0</v>
      </c>
      <c r="AP84" s="113">
        <v>957</v>
      </c>
      <c r="AQ84" s="113">
        <v>83</v>
      </c>
      <c r="AR84" s="113">
        <v>2937</v>
      </c>
      <c r="AS84" s="113">
        <v>366</v>
      </c>
      <c r="AT84" s="113">
        <v>0</v>
      </c>
      <c r="AU84" s="113">
        <v>0</v>
      </c>
      <c r="AV84" s="113">
        <v>1999</v>
      </c>
      <c r="AW84" s="113">
        <v>230</v>
      </c>
      <c r="AX84" s="113">
        <v>0</v>
      </c>
      <c r="AY84" s="113">
        <v>0</v>
      </c>
      <c r="AZ84" s="113">
        <v>0</v>
      </c>
      <c r="BA84" s="113">
        <v>0</v>
      </c>
      <c r="BB84" s="113">
        <v>694</v>
      </c>
      <c r="BC84" s="113">
        <v>111</v>
      </c>
      <c r="BD84" s="113">
        <v>0</v>
      </c>
      <c r="BE84" s="113">
        <v>0</v>
      </c>
      <c r="BF84" s="113">
        <v>0</v>
      </c>
      <c r="BG84" s="113">
        <v>0</v>
      </c>
      <c r="BH84" s="113">
        <v>54</v>
      </c>
      <c r="BI84" s="113">
        <v>21</v>
      </c>
      <c r="BJ84" s="113">
        <v>0</v>
      </c>
      <c r="BK84" s="113">
        <v>0</v>
      </c>
      <c r="BL84" s="113">
        <v>0</v>
      </c>
      <c r="BM84" s="113">
        <v>0</v>
      </c>
      <c r="BN84" s="113">
        <v>1201</v>
      </c>
      <c r="BO84" s="113">
        <v>116</v>
      </c>
      <c r="BP84" s="113">
        <v>0</v>
      </c>
      <c r="BQ84" s="113">
        <v>0</v>
      </c>
      <c r="BR84" s="113">
        <v>723</v>
      </c>
      <c r="BS84" s="113">
        <v>98</v>
      </c>
      <c r="BT84" s="113">
        <v>672</v>
      </c>
      <c r="BU84" s="113">
        <v>122</v>
      </c>
      <c r="BV84" s="172">
        <v>0</v>
      </c>
      <c r="BW84" s="172">
        <v>0</v>
      </c>
      <c r="BX84" s="172">
        <v>0</v>
      </c>
      <c r="BY84" s="168">
        <v>0</v>
      </c>
      <c r="BZ84" s="181">
        <v>0</v>
      </c>
      <c r="CA84" s="181">
        <v>0</v>
      </c>
      <c r="CB84" s="181">
        <v>11</v>
      </c>
      <c r="CC84" s="181">
        <v>9</v>
      </c>
      <c r="CD84" s="181">
        <v>5</v>
      </c>
      <c r="CE84" s="181">
        <v>1</v>
      </c>
      <c r="CF84" s="181">
        <v>0</v>
      </c>
      <c r="CG84" s="181">
        <v>0</v>
      </c>
      <c r="CH84" s="181">
        <v>8</v>
      </c>
      <c r="CI84" s="181">
        <v>0</v>
      </c>
      <c r="CJ84" s="181">
        <v>10</v>
      </c>
      <c r="CK84" s="181">
        <v>10</v>
      </c>
      <c r="CL84" s="181">
        <v>2</v>
      </c>
      <c r="CM84" s="181">
        <v>0</v>
      </c>
      <c r="CN84" s="181">
        <v>0</v>
      </c>
      <c r="CO84" s="181">
        <v>0</v>
      </c>
      <c r="CP84" s="181">
        <v>0</v>
      </c>
      <c r="CQ84" s="181">
        <v>0</v>
      </c>
      <c r="CR84" s="181">
        <v>3</v>
      </c>
      <c r="CS84" s="181">
        <v>3</v>
      </c>
      <c r="CT84" s="181">
        <v>0</v>
      </c>
      <c r="CU84" s="181">
        <v>0</v>
      </c>
      <c r="CV84" s="181">
        <v>3</v>
      </c>
      <c r="CW84" s="181">
        <v>0</v>
      </c>
      <c r="CX84" s="181">
        <v>0</v>
      </c>
      <c r="CY84" s="181">
        <v>0</v>
      </c>
      <c r="CZ84" s="181">
        <v>0</v>
      </c>
      <c r="DA84" s="181">
        <v>0</v>
      </c>
      <c r="DB84" s="181">
        <v>5</v>
      </c>
      <c r="DC84" s="181">
        <v>3</v>
      </c>
      <c r="DD84" s="181">
        <v>0</v>
      </c>
      <c r="DE84" s="181">
        <v>0</v>
      </c>
      <c r="DF84" s="181">
        <v>0</v>
      </c>
      <c r="DG84" s="181">
        <v>0</v>
      </c>
      <c r="DH84" s="181">
        <v>4</v>
      </c>
      <c r="DI84" s="181">
        <v>0</v>
      </c>
      <c r="DJ84" s="181">
        <v>0</v>
      </c>
      <c r="DK84" s="181">
        <v>0</v>
      </c>
      <c r="DL84" s="181">
        <v>0</v>
      </c>
      <c r="DM84" s="181">
        <v>0</v>
      </c>
      <c r="DN84" s="181">
        <v>4</v>
      </c>
      <c r="DO84" s="181">
        <v>3</v>
      </c>
      <c r="DP84" s="181">
        <v>0</v>
      </c>
      <c r="DQ84" s="181">
        <v>0</v>
      </c>
      <c r="DR84" s="181">
        <v>11</v>
      </c>
      <c r="DS84" s="181">
        <v>2</v>
      </c>
      <c r="DT84" s="181">
        <v>12</v>
      </c>
      <c r="DU84" s="181">
        <v>7</v>
      </c>
      <c r="DV84" s="181">
        <v>0</v>
      </c>
      <c r="DW84" s="181">
        <v>0</v>
      </c>
      <c r="DX84" s="181">
        <v>0</v>
      </c>
      <c r="DY84" s="181">
        <v>0</v>
      </c>
    </row>
    <row r="85" spans="9:129" ht="13.5">
      <c r="I85" s="169"/>
      <c r="J85" s="169"/>
      <c r="K85" s="169"/>
      <c r="M85" s="187"/>
      <c r="N85" s="188"/>
      <c r="O85" s="172" t="s">
        <v>42</v>
      </c>
      <c r="P85" s="172" t="s">
        <v>1542</v>
      </c>
      <c r="Q85" s="172" t="s">
        <v>1494</v>
      </c>
      <c r="R85" s="172" t="s">
        <v>1495</v>
      </c>
      <c r="S85" s="172">
        <v>7</v>
      </c>
      <c r="U85" s="172" t="s">
        <v>42</v>
      </c>
      <c r="V85" s="172" t="s">
        <v>1542</v>
      </c>
      <c r="W85" s="172" t="s">
        <v>316</v>
      </c>
      <c r="X85" s="172">
        <v>3</v>
      </c>
      <c r="Y85" s="172" t="s">
        <v>1577</v>
      </c>
      <c r="Z85" s="113">
        <v>0</v>
      </c>
      <c r="AA85" s="113">
        <v>0</v>
      </c>
      <c r="AB85" s="113">
        <v>141</v>
      </c>
      <c r="AC85" s="113">
        <v>25</v>
      </c>
      <c r="AD85" s="113">
        <v>1042</v>
      </c>
      <c r="AE85" s="113">
        <v>108</v>
      </c>
      <c r="AF85" s="113">
        <v>143</v>
      </c>
      <c r="AG85" s="113">
        <v>20</v>
      </c>
      <c r="AH85" s="113">
        <v>695</v>
      </c>
      <c r="AI85" s="113">
        <v>67</v>
      </c>
      <c r="AJ85" s="113">
        <v>0</v>
      </c>
      <c r="AK85" s="113">
        <v>0</v>
      </c>
      <c r="AL85" s="113">
        <v>0</v>
      </c>
      <c r="AM85" s="113">
        <v>0</v>
      </c>
      <c r="AN85" s="113">
        <v>518</v>
      </c>
      <c r="AO85" s="113">
        <v>68</v>
      </c>
      <c r="AP85" s="113">
        <v>0</v>
      </c>
      <c r="AQ85" s="113">
        <v>0</v>
      </c>
      <c r="AR85" s="113">
        <v>276</v>
      </c>
      <c r="AS85" s="113">
        <v>40</v>
      </c>
      <c r="AT85" s="113">
        <v>0</v>
      </c>
      <c r="AU85" s="113">
        <v>0</v>
      </c>
      <c r="AV85" s="113">
        <v>1303</v>
      </c>
      <c r="AW85" s="113">
        <v>111</v>
      </c>
      <c r="AX85" s="113">
        <v>301</v>
      </c>
      <c r="AY85" s="113">
        <v>49</v>
      </c>
      <c r="AZ85" s="113">
        <v>535</v>
      </c>
      <c r="BA85" s="113">
        <v>71</v>
      </c>
      <c r="BB85" s="113">
        <v>0</v>
      </c>
      <c r="BC85" s="113">
        <v>0</v>
      </c>
      <c r="BD85" s="113">
        <v>0</v>
      </c>
      <c r="BE85" s="113">
        <v>0</v>
      </c>
      <c r="BF85" s="113">
        <v>735</v>
      </c>
      <c r="BG85" s="113">
        <v>84</v>
      </c>
      <c r="BH85" s="113">
        <v>5816</v>
      </c>
      <c r="BI85" s="113">
        <v>816</v>
      </c>
      <c r="BJ85" s="113">
        <v>918</v>
      </c>
      <c r="BK85" s="113">
        <v>200</v>
      </c>
      <c r="BL85" s="113">
        <v>1491</v>
      </c>
      <c r="BM85" s="113">
        <v>236</v>
      </c>
      <c r="BN85" s="113">
        <v>24</v>
      </c>
      <c r="BO85" s="113">
        <v>2</v>
      </c>
      <c r="BP85" s="113">
        <v>22</v>
      </c>
      <c r="BQ85" s="113">
        <v>3</v>
      </c>
      <c r="BR85" s="113">
        <v>587</v>
      </c>
      <c r="BS85" s="113">
        <v>77</v>
      </c>
      <c r="BT85" s="113">
        <v>340</v>
      </c>
      <c r="BU85" s="113">
        <v>44</v>
      </c>
      <c r="BV85" s="172">
        <v>495</v>
      </c>
      <c r="BW85" s="172">
        <v>111</v>
      </c>
      <c r="BX85" s="172">
        <v>1272</v>
      </c>
      <c r="BY85" s="168">
        <v>232</v>
      </c>
      <c r="BZ85" s="181">
        <v>0</v>
      </c>
      <c r="CA85" s="181">
        <v>0</v>
      </c>
      <c r="CB85" s="181">
        <v>3</v>
      </c>
      <c r="CC85" s="181">
        <v>3</v>
      </c>
      <c r="CD85" s="181">
        <v>8</v>
      </c>
      <c r="CE85" s="181">
        <v>5</v>
      </c>
      <c r="CF85" s="181">
        <v>10</v>
      </c>
      <c r="CG85" s="181">
        <v>4</v>
      </c>
      <c r="CH85" s="181">
        <v>4</v>
      </c>
      <c r="CI85" s="181">
        <v>3</v>
      </c>
      <c r="CJ85" s="181">
        <v>0</v>
      </c>
      <c r="CK85" s="181">
        <v>0</v>
      </c>
      <c r="CL85" s="181">
        <v>0</v>
      </c>
      <c r="CM85" s="181">
        <v>0</v>
      </c>
      <c r="CN85" s="181">
        <v>11</v>
      </c>
      <c r="CO85" s="181">
        <v>0</v>
      </c>
      <c r="CP85" s="181">
        <v>0</v>
      </c>
      <c r="CQ85" s="181">
        <v>0</v>
      </c>
      <c r="CR85" s="181">
        <v>7</v>
      </c>
      <c r="CS85" s="181">
        <v>1</v>
      </c>
      <c r="CT85" s="181">
        <v>0</v>
      </c>
      <c r="CU85" s="181">
        <v>0</v>
      </c>
      <c r="CV85" s="181">
        <v>7</v>
      </c>
      <c r="CW85" s="181">
        <v>7</v>
      </c>
      <c r="CX85" s="181">
        <v>5</v>
      </c>
      <c r="CY85" s="181">
        <v>4</v>
      </c>
      <c r="CZ85" s="181">
        <v>2</v>
      </c>
      <c r="DA85" s="181">
        <v>2</v>
      </c>
      <c r="DB85" s="181">
        <v>0</v>
      </c>
      <c r="DC85" s="181">
        <v>0</v>
      </c>
      <c r="DD85" s="181">
        <v>0</v>
      </c>
      <c r="DE85" s="181">
        <v>0</v>
      </c>
      <c r="DF85" s="181">
        <v>8</v>
      </c>
      <c r="DG85" s="181">
        <v>0</v>
      </c>
      <c r="DH85" s="181">
        <v>4</v>
      </c>
      <c r="DI85" s="181">
        <v>3</v>
      </c>
      <c r="DJ85" s="181">
        <v>12</v>
      </c>
      <c r="DK85" s="181">
        <v>0</v>
      </c>
      <c r="DL85" s="181">
        <v>5</v>
      </c>
      <c r="DM85" s="181">
        <v>0</v>
      </c>
      <c r="DN85" s="181">
        <v>3</v>
      </c>
      <c r="DO85" s="181">
        <v>1</v>
      </c>
      <c r="DP85" s="181">
        <v>3</v>
      </c>
      <c r="DQ85" s="181">
        <v>3</v>
      </c>
      <c r="DR85" s="181">
        <v>8</v>
      </c>
      <c r="DS85" s="181">
        <v>4</v>
      </c>
      <c r="DT85" s="181">
        <v>3</v>
      </c>
      <c r="DU85" s="181">
        <v>1</v>
      </c>
      <c r="DV85" s="181">
        <v>12</v>
      </c>
      <c r="DW85" s="181">
        <v>9</v>
      </c>
      <c r="DX85" s="181">
        <v>8</v>
      </c>
      <c r="DY85" s="181">
        <v>8</v>
      </c>
    </row>
    <row r="86" spans="9:129" ht="13.5">
      <c r="I86" s="169"/>
      <c r="J86" s="169"/>
      <c r="K86" s="169"/>
      <c r="M86" s="187"/>
      <c r="N86" s="188"/>
      <c r="O86" s="172" t="s">
        <v>42</v>
      </c>
      <c r="P86" s="172" t="s">
        <v>1542</v>
      </c>
      <c r="Q86" s="172" t="s">
        <v>1506</v>
      </c>
      <c r="R86" s="172" t="s">
        <v>1507</v>
      </c>
      <c r="S86" s="172">
        <v>8</v>
      </c>
      <c r="U86" s="172" t="s">
        <v>42</v>
      </c>
      <c r="V86" s="172" t="s">
        <v>1542</v>
      </c>
      <c r="W86" s="172" t="s">
        <v>323</v>
      </c>
      <c r="X86" s="172">
        <v>4</v>
      </c>
      <c r="Y86" s="172" t="s">
        <v>1578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28</v>
      </c>
      <c r="AK86" s="113">
        <v>3</v>
      </c>
      <c r="AL86" s="113">
        <v>0</v>
      </c>
      <c r="AM86" s="113">
        <v>0</v>
      </c>
      <c r="AN86" s="113">
        <v>0</v>
      </c>
      <c r="AO86" s="113">
        <v>0</v>
      </c>
      <c r="AP86" s="113">
        <v>0</v>
      </c>
      <c r="AQ86" s="113">
        <v>0</v>
      </c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  <c r="BD86" s="113">
        <v>0</v>
      </c>
      <c r="BE86" s="113">
        <v>0</v>
      </c>
      <c r="BF86" s="113">
        <v>0</v>
      </c>
      <c r="BG86" s="113">
        <v>0</v>
      </c>
      <c r="BH86" s="113">
        <v>9</v>
      </c>
      <c r="BI86" s="113">
        <v>1</v>
      </c>
      <c r="BJ86" s="113">
        <v>0</v>
      </c>
      <c r="BK86" s="113">
        <v>0</v>
      </c>
      <c r="BL86" s="113">
        <v>0</v>
      </c>
      <c r="BM86" s="113">
        <v>0</v>
      </c>
      <c r="BN86" s="113">
        <v>0</v>
      </c>
      <c r="BO86" s="113">
        <v>0</v>
      </c>
      <c r="BP86" s="113">
        <v>0</v>
      </c>
      <c r="BQ86" s="113">
        <v>0</v>
      </c>
      <c r="BR86" s="113">
        <v>0</v>
      </c>
      <c r="BS86" s="113">
        <v>0</v>
      </c>
      <c r="BT86" s="113">
        <v>0</v>
      </c>
      <c r="BU86" s="113">
        <v>0</v>
      </c>
      <c r="BV86" s="172">
        <v>141</v>
      </c>
      <c r="BW86" s="172">
        <v>21</v>
      </c>
      <c r="BX86" s="172">
        <v>165</v>
      </c>
      <c r="BY86" s="168">
        <v>30</v>
      </c>
      <c r="BZ86" s="181">
        <v>0</v>
      </c>
      <c r="CA86" s="181">
        <v>0</v>
      </c>
      <c r="CB86" s="181">
        <v>0</v>
      </c>
      <c r="CC86" s="181">
        <v>0</v>
      </c>
      <c r="CD86" s="181">
        <v>0</v>
      </c>
      <c r="CE86" s="181">
        <v>0</v>
      </c>
      <c r="CF86" s="181">
        <v>0</v>
      </c>
      <c r="CG86" s="181">
        <v>0</v>
      </c>
      <c r="CH86" s="181">
        <v>0</v>
      </c>
      <c r="CI86" s="181">
        <v>0</v>
      </c>
      <c r="CJ86" s="181">
        <v>0</v>
      </c>
      <c r="CK86" s="181">
        <v>0</v>
      </c>
      <c r="CL86" s="181">
        <v>0</v>
      </c>
      <c r="CM86" s="181">
        <v>0</v>
      </c>
      <c r="CN86" s="181">
        <v>0</v>
      </c>
      <c r="CO86" s="181">
        <v>0</v>
      </c>
      <c r="CP86" s="181">
        <v>0</v>
      </c>
      <c r="CQ86" s="181">
        <v>0</v>
      </c>
      <c r="CR86" s="181">
        <v>0</v>
      </c>
      <c r="CS86" s="181">
        <v>0</v>
      </c>
      <c r="CT86" s="181">
        <v>0</v>
      </c>
      <c r="CU86" s="181">
        <v>0</v>
      </c>
      <c r="CV86" s="181">
        <v>0</v>
      </c>
      <c r="CW86" s="181">
        <v>0</v>
      </c>
      <c r="CX86" s="181">
        <v>0</v>
      </c>
      <c r="CY86" s="181">
        <v>0</v>
      </c>
      <c r="CZ86" s="181">
        <v>0</v>
      </c>
      <c r="DA86" s="181">
        <v>0</v>
      </c>
      <c r="DB86" s="181">
        <v>0</v>
      </c>
      <c r="DC86" s="181">
        <v>0</v>
      </c>
      <c r="DD86" s="181">
        <v>0</v>
      </c>
      <c r="DE86" s="181">
        <v>0</v>
      </c>
      <c r="DF86" s="181">
        <v>0</v>
      </c>
      <c r="DG86" s="181">
        <v>0</v>
      </c>
      <c r="DH86" s="181">
        <v>0</v>
      </c>
      <c r="DI86" s="181">
        <v>0</v>
      </c>
      <c r="DJ86" s="181">
        <v>0</v>
      </c>
      <c r="DK86" s="181">
        <v>0</v>
      </c>
      <c r="DL86" s="181">
        <v>0</v>
      </c>
      <c r="DM86" s="181">
        <v>0</v>
      </c>
      <c r="DN86" s="181">
        <v>0</v>
      </c>
      <c r="DO86" s="181">
        <v>0</v>
      </c>
      <c r="DP86" s="181">
        <v>0</v>
      </c>
      <c r="DQ86" s="181">
        <v>0</v>
      </c>
      <c r="DR86" s="181">
        <v>0</v>
      </c>
      <c r="DS86" s="181">
        <v>0</v>
      </c>
      <c r="DT86" s="181">
        <v>0</v>
      </c>
      <c r="DU86" s="181">
        <v>0</v>
      </c>
      <c r="DV86" s="181">
        <v>8</v>
      </c>
      <c r="DW86" s="181">
        <v>7</v>
      </c>
      <c r="DX86" s="181">
        <v>7</v>
      </c>
      <c r="DY86" s="181">
        <v>0</v>
      </c>
    </row>
    <row r="87" spans="9:129" ht="13.5">
      <c r="I87" s="169"/>
      <c r="J87" s="169"/>
      <c r="K87" s="169"/>
      <c r="M87" s="187"/>
      <c r="N87" s="188"/>
      <c r="O87" s="172" t="s">
        <v>42</v>
      </c>
      <c r="P87" s="172" t="s">
        <v>1542</v>
      </c>
      <c r="Q87" s="172" t="s">
        <v>334</v>
      </c>
      <c r="R87" s="172" t="s">
        <v>335</v>
      </c>
      <c r="S87" s="172">
        <v>9</v>
      </c>
      <c r="U87" s="172" t="s">
        <v>42</v>
      </c>
      <c r="V87" s="172" t="s">
        <v>1542</v>
      </c>
      <c r="W87" s="172" t="s">
        <v>1454</v>
      </c>
      <c r="X87" s="172">
        <v>5</v>
      </c>
      <c r="Y87" s="172" t="s">
        <v>1579</v>
      </c>
      <c r="Z87" s="113">
        <v>0</v>
      </c>
      <c r="AA87" s="113">
        <v>0</v>
      </c>
      <c r="AB87" s="113">
        <v>5413</v>
      </c>
      <c r="AC87" s="113">
        <v>515</v>
      </c>
      <c r="AD87" s="113">
        <v>1547</v>
      </c>
      <c r="AE87" s="113">
        <v>313</v>
      </c>
      <c r="AF87" s="113">
        <v>442</v>
      </c>
      <c r="AG87" s="113">
        <v>112</v>
      </c>
      <c r="AH87" s="113">
        <v>718</v>
      </c>
      <c r="AI87" s="113">
        <v>177</v>
      </c>
      <c r="AJ87" s="113">
        <v>1556</v>
      </c>
      <c r="AK87" s="113">
        <v>341</v>
      </c>
      <c r="AL87" s="113">
        <v>200</v>
      </c>
      <c r="AM87" s="113">
        <v>56</v>
      </c>
      <c r="AN87" s="113">
        <v>431</v>
      </c>
      <c r="AO87" s="113">
        <v>67</v>
      </c>
      <c r="AP87" s="113">
        <v>33</v>
      </c>
      <c r="AQ87" s="113">
        <v>16</v>
      </c>
      <c r="AR87" s="113">
        <v>990</v>
      </c>
      <c r="AS87" s="113">
        <v>193</v>
      </c>
      <c r="AT87" s="113">
        <v>493</v>
      </c>
      <c r="AU87" s="113">
        <v>140</v>
      </c>
      <c r="AV87" s="113">
        <v>5778</v>
      </c>
      <c r="AW87" s="113">
        <v>1174</v>
      </c>
      <c r="AX87" s="113">
        <v>1878</v>
      </c>
      <c r="AY87" s="113">
        <v>357</v>
      </c>
      <c r="AZ87" s="113">
        <v>398</v>
      </c>
      <c r="BA87" s="113">
        <v>58</v>
      </c>
      <c r="BB87" s="113">
        <v>0</v>
      </c>
      <c r="BC87" s="113">
        <v>0</v>
      </c>
      <c r="BD87" s="113">
        <v>0</v>
      </c>
      <c r="BE87" s="113">
        <v>0</v>
      </c>
      <c r="BF87" s="113">
        <v>50</v>
      </c>
      <c r="BG87" s="113">
        <v>27</v>
      </c>
      <c r="BH87" s="113">
        <v>2349</v>
      </c>
      <c r="BI87" s="113">
        <v>393</v>
      </c>
      <c r="BJ87" s="113">
        <v>0</v>
      </c>
      <c r="BK87" s="113">
        <v>0</v>
      </c>
      <c r="BL87" s="113">
        <v>1258</v>
      </c>
      <c r="BM87" s="113">
        <v>47</v>
      </c>
      <c r="BN87" s="113">
        <v>391</v>
      </c>
      <c r="BO87" s="113">
        <v>88</v>
      </c>
      <c r="BP87" s="113">
        <v>201</v>
      </c>
      <c r="BQ87" s="113">
        <v>38</v>
      </c>
      <c r="BR87" s="113">
        <v>1104</v>
      </c>
      <c r="BS87" s="113">
        <v>186</v>
      </c>
      <c r="BT87" s="113">
        <v>108</v>
      </c>
      <c r="BU87" s="113">
        <v>44</v>
      </c>
      <c r="BV87" s="172">
        <v>0</v>
      </c>
      <c r="BW87" s="172">
        <v>0</v>
      </c>
      <c r="BX87" s="172">
        <v>0</v>
      </c>
      <c r="BY87" s="168">
        <v>0</v>
      </c>
      <c r="BZ87" s="181">
        <v>0</v>
      </c>
      <c r="CA87" s="181">
        <v>0</v>
      </c>
      <c r="CB87" s="181">
        <v>1</v>
      </c>
      <c r="CC87" s="181">
        <v>0</v>
      </c>
      <c r="CD87" s="181">
        <v>10</v>
      </c>
      <c r="CE87" s="181">
        <v>0</v>
      </c>
      <c r="CF87" s="181">
        <v>1</v>
      </c>
      <c r="CG87" s="181">
        <v>1</v>
      </c>
      <c r="CH87" s="181">
        <v>7</v>
      </c>
      <c r="CI87" s="181">
        <v>7</v>
      </c>
      <c r="CJ87" s="181">
        <v>4</v>
      </c>
      <c r="CK87" s="181">
        <v>1</v>
      </c>
      <c r="CL87" s="181">
        <v>1</v>
      </c>
      <c r="CM87" s="181">
        <v>1</v>
      </c>
      <c r="CN87" s="181">
        <v>11</v>
      </c>
      <c r="CO87" s="181">
        <v>5</v>
      </c>
      <c r="CP87" s="181">
        <v>7</v>
      </c>
      <c r="CQ87" s="181">
        <v>5</v>
      </c>
      <c r="CR87" s="181">
        <v>8</v>
      </c>
      <c r="CS87" s="181">
        <v>1</v>
      </c>
      <c r="CT87" s="181">
        <v>5</v>
      </c>
      <c r="CU87" s="181">
        <v>1</v>
      </c>
      <c r="CV87" s="181">
        <v>11</v>
      </c>
      <c r="CW87" s="181">
        <v>11</v>
      </c>
      <c r="CX87" s="181">
        <v>7</v>
      </c>
      <c r="CY87" s="181">
        <v>3</v>
      </c>
      <c r="CZ87" s="181">
        <v>10</v>
      </c>
      <c r="DA87" s="181">
        <v>8</v>
      </c>
      <c r="DB87" s="181">
        <v>0</v>
      </c>
      <c r="DC87" s="181">
        <v>0</v>
      </c>
      <c r="DD87" s="181">
        <v>0</v>
      </c>
      <c r="DE87" s="181">
        <v>0</v>
      </c>
      <c r="DF87" s="181">
        <v>11</v>
      </c>
      <c r="DG87" s="181">
        <v>0</v>
      </c>
      <c r="DH87" s="181">
        <v>10</v>
      </c>
      <c r="DI87" s="181">
        <v>9</v>
      </c>
      <c r="DJ87" s="181">
        <v>0</v>
      </c>
      <c r="DK87" s="181">
        <v>0</v>
      </c>
      <c r="DL87" s="181">
        <v>4</v>
      </c>
      <c r="DM87" s="181">
        <v>2</v>
      </c>
      <c r="DN87" s="181">
        <v>0</v>
      </c>
      <c r="DO87" s="181">
        <v>0</v>
      </c>
      <c r="DP87" s="181">
        <v>0</v>
      </c>
      <c r="DQ87" s="181">
        <v>0</v>
      </c>
      <c r="DR87" s="181">
        <v>11</v>
      </c>
      <c r="DS87" s="181">
        <v>5</v>
      </c>
      <c r="DT87" s="181">
        <v>10</v>
      </c>
      <c r="DU87" s="181">
        <v>3</v>
      </c>
      <c r="DV87" s="181">
        <v>0</v>
      </c>
      <c r="DW87" s="181">
        <v>0</v>
      </c>
      <c r="DX87" s="181">
        <v>0</v>
      </c>
      <c r="DY87" s="181">
        <v>0</v>
      </c>
    </row>
    <row r="88" spans="1:130" s="191" customFormat="1" ht="13.5">
      <c r="A88" s="187"/>
      <c r="B88" s="167"/>
      <c r="C88" s="167"/>
      <c r="D88" s="167"/>
      <c r="E88" s="167"/>
      <c r="F88" s="167"/>
      <c r="G88" s="167"/>
      <c r="H88" s="167"/>
      <c r="I88" s="169"/>
      <c r="J88" s="169"/>
      <c r="K88" s="169"/>
      <c r="L88" s="169"/>
      <c r="M88" s="187"/>
      <c r="N88" s="188"/>
      <c r="O88" s="172" t="s">
        <v>42</v>
      </c>
      <c r="P88" s="172" t="s">
        <v>1542</v>
      </c>
      <c r="Q88" s="172" t="s">
        <v>1510</v>
      </c>
      <c r="R88" s="172" t="s">
        <v>1511</v>
      </c>
      <c r="S88" s="172">
        <v>10</v>
      </c>
      <c r="T88" s="189"/>
      <c r="U88" s="172" t="s">
        <v>42</v>
      </c>
      <c r="V88" s="172" t="s">
        <v>1542</v>
      </c>
      <c r="W88" s="172" t="s">
        <v>336</v>
      </c>
      <c r="X88" s="172">
        <v>6</v>
      </c>
      <c r="Y88" s="172" t="s">
        <v>1580</v>
      </c>
      <c r="Z88" s="113">
        <v>0</v>
      </c>
      <c r="AA88" s="113">
        <v>0</v>
      </c>
      <c r="AB88" s="113">
        <v>0</v>
      </c>
      <c r="AC88" s="113">
        <v>0</v>
      </c>
      <c r="AD88" s="113">
        <v>17</v>
      </c>
      <c r="AE88" s="113">
        <v>17</v>
      </c>
      <c r="AF88" s="113">
        <v>12</v>
      </c>
      <c r="AG88" s="113">
        <v>0</v>
      </c>
      <c r="AH88" s="113">
        <v>0</v>
      </c>
      <c r="AI88" s="113">
        <v>0</v>
      </c>
      <c r="AJ88" s="113">
        <v>27</v>
      </c>
      <c r="AK88" s="113">
        <v>19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4</v>
      </c>
      <c r="AS88" s="113">
        <v>0</v>
      </c>
      <c r="AT88" s="113">
        <v>0</v>
      </c>
      <c r="AU88" s="113">
        <v>0</v>
      </c>
      <c r="AV88" s="113">
        <v>18</v>
      </c>
      <c r="AW88" s="113">
        <v>11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113">
        <v>0</v>
      </c>
      <c r="BD88" s="113">
        <v>0</v>
      </c>
      <c r="BE88" s="113">
        <v>0</v>
      </c>
      <c r="BF88" s="113">
        <v>0</v>
      </c>
      <c r="BG88" s="113">
        <v>0</v>
      </c>
      <c r="BH88" s="113">
        <v>0</v>
      </c>
      <c r="BI88" s="113">
        <v>0</v>
      </c>
      <c r="BJ88" s="113">
        <v>0</v>
      </c>
      <c r="BK88" s="113">
        <v>0</v>
      </c>
      <c r="BL88" s="113">
        <v>0</v>
      </c>
      <c r="BM88" s="113">
        <v>0</v>
      </c>
      <c r="BN88" s="113">
        <v>0</v>
      </c>
      <c r="BO88" s="113">
        <v>0</v>
      </c>
      <c r="BP88" s="113">
        <v>0</v>
      </c>
      <c r="BQ88" s="113">
        <v>0</v>
      </c>
      <c r="BR88" s="113">
        <v>0</v>
      </c>
      <c r="BS88" s="113">
        <v>0</v>
      </c>
      <c r="BT88" s="113">
        <v>0</v>
      </c>
      <c r="BU88" s="113">
        <v>0</v>
      </c>
      <c r="BV88" s="172">
        <v>118</v>
      </c>
      <c r="BW88" s="172">
        <v>41</v>
      </c>
      <c r="BX88" s="172">
        <v>0</v>
      </c>
      <c r="BY88" s="168">
        <v>0</v>
      </c>
      <c r="BZ88" s="181">
        <v>0</v>
      </c>
      <c r="CA88" s="181">
        <v>0</v>
      </c>
      <c r="CB88" s="181">
        <v>0</v>
      </c>
      <c r="CC88" s="181">
        <v>0</v>
      </c>
      <c r="CD88" s="181">
        <v>3</v>
      </c>
      <c r="CE88" s="181">
        <v>0</v>
      </c>
      <c r="CF88" s="181">
        <v>4</v>
      </c>
      <c r="CG88" s="181">
        <v>0</v>
      </c>
      <c r="CH88" s="181">
        <v>0</v>
      </c>
      <c r="CI88" s="181">
        <v>0</v>
      </c>
      <c r="CJ88" s="181">
        <v>4</v>
      </c>
      <c r="CK88" s="181">
        <v>1</v>
      </c>
      <c r="CL88" s="181">
        <v>0</v>
      </c>
      <c r="CM88" s="181">
        <v>0</v>
      </c>
      <c r="CN88" s="181">
        <v>0</v>
      </c>
      <c r="CO88" s="181">
        <v>0</v>
      </c>
      <c r="CP88" s="181">
        <v>0</v>
      </c>
      <c r="CQ88" s="181">
        <v>0</v>
      </c>
      <c r="CR88" s="181">
        <v>0</v>
      </c>
      <c r="CS88" s="181">
        <v>0</v>
      </c>
      <c r="CT88" s="181">
        <v>0</v>
      </c>
      <c r="CU88" s="181">
        <v>0</v>
      </c>
      <c r="CV88" s="181">
        <v>5</v>
      </c>
      <c r="CW88" s="181">
        <v>4</v>
      </c>
      <c r="CX88" s="181">
        <v>0</v>
      </c>
      <c r="CY88" s="181">
        <v>0</v>
      </c>
      <c r="CZ88" s="181">
        <v>0</v>
      </c>
      <c r="DA88" s="181">
        <v>0</v>
      </c>
      <c r="DB88" s="181">
        <v>0</v>
      </c>
      <c r="DC88" s="181">
        <v>0</v>
      </c>
      <c r="DD88" s="181">
        <v>0</v>
      </c>
      <c r="DE88" s="181">
        <v>0</v>
      </c>
      <c r="DF88" s="181">
        <v>0</v>
      </c>
      <c r="DG88" s="181">
        <v>0</v>
      </c>
      <c r="DH88" s="181">
        <v>0</v>
      </c>
      <c r="DI88" s="181">
        <v>0</v>
      </c>
      <c r="DJ88" s="181">
        <v>0</v>
      </c>
      <c r="DK88" s="181">
        <v>0</v>
      </c>
      <c r="DL88" s="181">
        <v>0</v>
      </c>
      <c r="DM88" s="181">
        <v>0</v>
      </c>
      <c r="DN88" s="181">
        <v>0</v>
      </c>
      <c r="DO88" s="181">
        <v>0</v>
      </c>
      <c r="DP88" s="181">
        <v>0</v>
      </c>
      <c r="DQ88" s="181">
        <v>0</v>
      </c>
      <c r="DR88" s="181">
        <v>0</v>
      </c>
      <c r="DS88" s="181">
        <v>0</v>
      </c>
      <c r="DT88" s="181">
        <v>0</v>
      </c>
      <c r="DU88" s="181">
        <v>0</v>
      </c>
      <c r="DV88" s="181">
        <v>11</v>
      </c>
      <c r="DW88" s="181">
        <v>10</v>
      </c>
      <c r="DX88" s="181">
        <v>0</v>
      </c>
      <c r="DY88" s="181">
        <v>0</v>
      </c>
      <c r="DZ88" s="190"/>
    </row>
    <row r="89" spans="9:129" ht="13.5">
      <c r="I89" s="169"/>
      <c r="J89" s="169"/>
      <c r="K89" s="169"/>
      <c r="M89" s="187"/>
      <c r="N89" s="188"/>
      <c r="O89" s="172" t="s">
        <v>42</v>
      </c>
      <c r="P89" s="172" t="s">
        <v>1542</v>
      </c>
      <c r="Q89" s="172" t="s">
        <v>339</v>
      </c>
      <c r="R89" s="172" t="s">
        <v>1513</v>
      </c>
      <c r="S89" s="172">
        <v>11</v>
      </c>
      <c r="U89" s="172" t="s">
        <v>42</v>
      </c>
      <c r="V89" s="172" t="s">
        <v>1542</v>
      </c>
      <c r="W89" s="172" t="s">
        <v>1494</v>
      </c>
      <c r="X89" s="172">
        <v>7</v>
      </c>
      <c r="Y89" s="172" t="s">
        <v>1581</v>
      </c>
      <c r="Z89" s="113">
        <v>0</v>
      </c>
      <c r="AA89" s="113">
        <v>0</v>
      </c>
      <c r="AB89" s="113">
        <v>15</v>
      </c>
      <c r="AC89" s="113">
        <v>2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49</v>
      </c>
      <c r="AK89" s="113">
        <v>31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58</v>
      </c>
      <c r="AW89" s="113">
        <v>23</v>
      </c>
      <c r="AX89" s="113">
        <v>56</v>
      </c>
      <c r="AY89" s="113">
        <v>16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  <c r="BE89" s="113">
        <v>0</v>
      </c>
      <c r="BF89" s="113">
        <v>0</v>
      </c>
      <c r="BG89" s="113">
        <v>0</v>
      </c>
      <c r="BH89" s="113">
        <v>170</v>
      </c>
      <c r="BI89" s="113">
        <v>87</v>
      </c>
      <c r="BJ89" s="113">
        <v>106</v>
      </c>
      <c r="BK89" s="113">
        <v>53</v>
      </c>
      <c r="BL89" s="113">
        <v>0</v>
      </c>
      <c r="BM89" s="113">
        <v>0</v>
      </c>
      <c r="BN89" s="113">
        <v>0</v>
      </c>
      <c r="BO89" s="113">
        <v>0</v>
      </c>
      <c r="BP89" s="113">
        <v>0</v>
      </c>
      <c r="BQ89" s="113">
        <v>0</v>
      </c>
      <c r="BR89" s="113">
        <v>15</v>
      </c>
      <c r="BS89" s="113">
        <v>13</v>
      </c>
      <c r="BT89" s="113">
        <v>0</v>
      </c>
      <c r="BU89" s="113">
        <v>0</v>
      </c>
      <c r="BV89" s="172">
        <v>0</v>
      </c>
      <c r="BW89" s="172">
        <v>0</v>
      </c>
      <c r="BX89" s="172">
        <v>0</v>
      </c>
      <c r="BY89" s="168">
        <v>0</v>
      </c>
      <c r="BZ89" s="181">
        <v>0</v>
      </c>
      <c r="CA89" s="181">
        <v>0</v>
      </c>
      <c r="CB89" s="181">
        <v>8</v>
      </c>
      <c r="CC89" s="181">
        <v>0</v>
      </c>
      <c r="CD89" s="181">
        <v>0</v>
      </c>
      <c r="CE89" s="181">
        <v>0</v>
      </c>
      <c r="CF89" s="181">
        <v>0</v>
      </c>
      <c r="CG89" s="181">
        <v>0</v>
      </c>
      <c r="CH89" s="181">
        <v>0</v>
      </c>
      <c r="CI89" s="181">
        <v>0</v>
      </c>
      <c r="CJ89" s="181">
        <v>1</v>
      </c>
      <c r="CK89" s="181">
        <v>0</v>
      </c>
      <c r="CL89" s="181">
        <v>0</v>
      </c>
      <c r="CM89" s="181">
        <v>0</v>
      </c>
      <c r="CN89" s="181">
        <v>0</v>
      </c>
      <c r="CO89" s="181">
        <v>0</v>
      </c>
      <c r="CP89" s="181">
        <v>0</v>
      </c>
      <c r="CQ89" s="181">
        <v>0</v>
      </c>
      <c r="CR89" s="181">
        <v>0</v>
      </c>
      <c r="CS89" s="181">
        <v>0</v>
      </c>
      <c r="CT89" s="181">
        <v>0</v>
      </c>
      <c r="CU89" s="181">
        <v>0</v>
      </c>
      <c r="CV89" s="181">
        <v>8</v>
      </c>
      <c r="CW89" s="181">
        <v>6</v>
      </c>
      <c r="CX89" s="181">
        <v>8</v>
      </c>
      <c r="CY89" s="181">
        <v>7</v>
      </c>
      <c r="CZ89" s="181">
        <v>0</v>
      </c>
      <c r="DA89" s="181">
        <v>0</v>
      </c>
      <c r="DB89" s="181">
        <v>0</v>
      </c>
      <c r="DC89" s="181">
        <v>0</v>
      </c>
      <c r="DD89" s="181">
        <v>0</v>
      </c>
      <c r="DE89" s="181">
        <v>0</v>
      </c>
      <c r="DF89" s="181">
        <v>0</v>
      </c>
      <c r="DG89" s="181">
        <v>0</v>
      </c>
      <c r="DH89" s="181">
        <v>4</v>
      </c>
      <c r="DI89" s="181">
        <v>3</v>
      </c>
      <c r="DJ89" s="181">
        <v>3</v>
      </c>
      <c r="DK89" s="181">
        <v>2</v>
      </c>
      <c r="DL89" s="181">
        <v>0</v>
      </c>
      <c r="DM89" s="181">
        <v>0</v>
      </c>
      <c r="DN89" s="181">
        <v>0</v>
      </c>
      <c r="DO89" s="181">
        <v>0</v>
      </c>
      <c r="DP89" s="181">
        <v>0</v>
      </c>
      <c r="DQ89" s="181">
        <v>0</v>
      </c>
      <c r="DR89" s="181">
        <v>2</v>
      </c>
      <c r="DS89" s="181">
        <v>2</v>
      </c>
      <c r="DT89" s="181">
        <v>0</v>
      </c>
      <c r="DU89" s="181">
        <v>0</v>
      </c>
      <c r="DV89" s="181">
        <v>0</v>
      </c>
      <c r="DW89" s="181">
        <v>0</v>
      </c>
      <c r="DX89" s="181">
        <v>0</v>
      </c>
      <c r="DY89" s="181">
        <v>0</v>
      </c>
    </row>
    <row r="90" spans="9:129" ht="13.5">
      <c r="I90" s="169"/>
      <c r="J90" s="169"/>
      <c r="K90" s="169"/>
      <c r="M90" s="187"/>
      <c r="N90" s="188"/>
      <c r="O90" s="172" t="s">
        <v>43</v>
      </c>
      <c r="P90" s="172" t="s">
        <v>1543</v>
      </c>
      <c r="Q90" s="172" t="s">
        <v>332</v>
      </c>
      <c r="R90" s="172" t="s">
        <v>1357</v>
      </c>
      <c r="S90" s="172">
        <v>1</v>
      </c>
      <c r="U90" s="172" t="s">
        <v>42</v>
      </c>
      <c r="V90" s="172" t="s">
        <v>1542</v>
      </c>
      <c r="W90" s="172" t="s">
        <v>1506</v>
      </c>
      <c r="X90" s="172">
        <v>8</v>
      </c>
      <c r="Y90" s="172" t="s">
        <v>1582</v>
      </c>
      <c r="Z90" s="113">
        <v>6384</v>
      </c>
      <c r="AA90" s="113">
        <v>315</v>
      </c>
      <c r="AB90" s="113">
        <v>1022</v>
      </c>
      <c r="AC90" s="113">
        <v>144</v>
      </c>
      <c r="AD90" s="113">
        <v>3570</v>
      </c>
      <c r="AE90" s="113">
        <v>316</v>
      </c>
      <c r="AF90" s="113">
        <v>1750</v>
      </c>
      <c r="AG90" s="113">
        <v>136</v>
      </c>
      <c r="AH90" s="113">
        <v>3541</v>
      </c>
      <c r="AI90" s="113">
        <v>469</v>
      </c>
      <c r="AJ90" s="113">
        <v>2042</v>
      </c>
      <c r="AK90" s="113">
        <v>231</v>
      </c>
      <c r="AL90" s="113">
        <v>3537</v>
      </c>
      <c r="AM90" s="113">
        <v>405</v>
      </c>
      <c r="AN90" s="113">
        <v>0</v>
      </c>
      <c r="AO90" s="113">
        <v>0</v>
      </c>
      <c r="AP90" s="113">
        <v>0</v>
      </c>
      <c r="AQ90" s="113">
        <v>0</v>
      </c>
      <c r="AR90" s="113">
        <v>3122</v>
      </c>
      <c r="AS90" s="113">
        <v>296</v>
      </c>
      <c r="AT90" s="113">
        <v>1534</v>
      </c>
      <c r="AU90" s="113">
        <v>244</v>
      </c>
      <c r="AV90" s="113">
        <v>1481</v>
      </c>
      <c r="AW90" s="113">
        <v>110</v>
      </c>
      <c r="AX90" s="113">
        <v>0</v>
      </c>
      <c r="AY90" s="113">
        <v>0</v>
      </c>
      <c r="AZ90" s="113">
        <v>1670</v>
      </c>
      <c r="BA90" s="113">
        <v>124</v>
      </c>
      <c r="BB90" s="113">
        <v>1961</v>
      </c>
      <c r="BC90" s="113">
        <v>188</v>
      </c>
      <c r="BD90" s="113">
        <v>0</v>
      </c>
      <c r="BE90" s="113">
        <v>0</v>
      </c>
      <c r="BF90" s="113">
        <v>3070</v>
      </c>
      <c r="BG90" s="113">
        <v>300</v>
      </c>
      <c r="BH90" s="113">
        <v>1201</v>
      </c>
      <c r="BI90" s="113">
        <v>83</v>
      </c>
      <c r="BJ90" s="113">
        <v>0</v>
      </c>
      <c r="BK90" s="113">
        <v>0</v>
      </c>
      <c r="BL90" s="113">
        <v>719</v>
      </c>
      <c r="BM90" s="113">
        <v>45</v>
      </c>
      <c r="BN90" s="113">
        <v>535</v>
      </c>
      <c r="BO90" s="113">
        <v>70</v>
      </c>
      <c r="BP90" s="113">
        <v>851</v>
      </c>
      <c r="BQ90" s="113">
        <v>84</v>
      </c>
      <c r="BR90" s="113">
        <v>474</v>
      </c>
      <c r="BS90" s="113">
        <v>45</v>
      </c>
      <c r="BT90" s="113">
        <v>836</v>
      </c>
      <c r="BU90" s="113">
        <v>83</v>
      </c>
      <c r="BV90" s="172">
        <v>0</v>
      </c>
      <c r="BW90" s="172">
        <v>0</v>
      </c>
      <c r="BX90" s="172">
        <v>0</v>
      </c>
      <c r="BY90" s="168">
        <v>0</v>
      </c>
      <c r="BZ90" s="181">
        <v>9</v>
      </c>
      <c r="CA90" s="181">
        <v>4</v>
      </c>
      <c r="CB90" s="181">
        <v>1</v>
      </c>
      <c r="CC90" s="181">
        <v>1</v>
      </c>
      <c r="CD90" s="181">
        <v>11</v>
      </c>
      <c r="CE90" s="181">
        <v>0</v>
      </c>
      <c r="CF90" s="181">
        <v>12</v>
      </c>
      <c r="CG90" s="181">
        <v>7</v>
      </c>
      <c r="CH90" s="181">
        <v>8</v>
      </c>
      <c r="CI90" s="181">
        <v>4</v>
      </c>
      <c r="CJ90" s="181">
        <v>8</v>
      </c>
      <c r="CK90" s="181">
        <v>1</v>
      </c>
      <c r="CL90" s="181">
        <v>11</v>
      </c>
      <c r="CM90" s="181">
        <v>1</v>
      </c>
      <c r="CN90" s="181">
        <v>0</v>
      </c>
      <c r="CO90" s="181">
        <v>0</v>
      </c>
      <c r="CP90" s="181">
        <v>0</v>
      </c>
      <c r="CQ90" s="181">
        <v>0</v>
      </c>
      <c r="CR90" s="181">
        <v>2</v>
      </c>
      <c r="CS90" s="181">
        <v>1</v>
      </c>
      <c r="CT90" s="181">
        <v>9</v>
      </c>
      <c r="CU90" s="181">
        <v>6</v>
      </c>
      <c r="CV90" s="181">
        <v>8</v>
      </c>
      <c r="CW90" s="181">
        <v>7</v>
      </c>
      <c r="CX90" s="181">
        <v>0</v>
      </c>
      <c r="CY90" s="181">
        <v>0</v>
      </c>
      <c r="CZ90" s="181">
        <v>9</v>
      </c>
      <c r="DA90" s="181">
        <v>1</v>
      </c>
      <c r="DB90" s="181">
        <v>0</v>
      </c>
      <c r="DC90" s="181">
        <v>0</v>
      </c>
      <c r="DD90" s="181">
        <v>0</v>
      </c>
      <c r="DE90" s="181">
        <v>0</v>
      </c>
      <c r="DF90" s="181">
        <v>11</v>
      </c>
      <c r="DG90" s="181">
        <v>5</v>
      </c>
      <c r="DH90" s="181">
        <v>1</v>
      </c>
      <c r="DI90" s="181">
        <v>1</v>
      </c>
      <c r="DJ90" s="181">
        <v>0</v>
      </c>
      <c r="DK90" s="181">
        <v>0</v>
      </c>
      <c r="DL90" s="181">
        <v>11</v>
      </c>
      <c r="DM90" s="181">
        <v>3</v>
      </c>
      <c r="DN90" s="181">
        <v>9</v>
      </c>
      <c r="DO90" s="181">
        <v>0</v>
      </c>
      <c r="DP90" s="181">
        <v>10</v>
      </c>
      <c r="DQ90" s="181">
        <v>2</v>
      </c>
      <c r="DR90" s="181">
        <v>12</v>
      </c>
      <c r="DS90" s="181">
        <v>6</v>
      </c>
      <c r="DT90" s="181">
        <v>7</v>
      </c>
      <c r="DU90" s="181">
        <v>4</v>
      </c>
      <c r="DV90" s="181">
        <v>0</v>
      </c>
      <c r="DW90" s="181">
        <v>0</v>
      </c>
      <c r="DX90" s="181">
        <v>0</v>
      </c>
      <c r="DY90" s="181">
        <v>0</v>
      </c>
    </row>
    <row r="91" spans="2:129" ht="13.5">
      <c r="B91" s="187"/>
      <c r="C91" s="187"/>
      <c r="D91" s="187"/>
      <c r="E91" s="187"/>
      <c r="F91" s="187"/>
      <c r="G91" s="187"/>
      <c r="H91" s="187"/>
      <c r="I91" s="199"/>
      <c r="J91" s="199"/>
      <c r="K91" s="199"/>
      <c r="L91" s="199"/>
      <c r="M91" s="187"/>
      <c r="N91" s="188"/>
      <c r="O91" s="172" t="s">
        <v>43</v>
      </c>
      <c r="P91" s="172" t="s">
        <v>1543</v>
      </c>
      <c r="Q91" s="172" t="s">
        <v>1439</v>
      </c>
      <c r="R91" s="172" t="s">
        <v>1440</v>
      </c>
      <c r="S91" s="172">
        <v>2</v>
      </c>
      <c r="U91" s="172" t="s">
        <v>42</v>
      </c>
      <c r="V91" s="172" t="s">
        <v>1542</v>
      </c>
      <c r="W91" s="172" t="s">
        <v>334</v>
      </c>
      <c r="X91" s="172">
        <v>9</v>
      </c>
      <c r="Y91" s="172" t="s">
        <v>1583</v>
      </c>
      <c r="Z91" s="113">
        <v>0</v>
      </c>
      <c r="AA91" s="113">
        <v>0</v>
      </c>
      <c r="AB91" s="113">
        <v>0</v>
      </c>
      <c r="AC91" s="113">
        <v>0</v>
      </c>
      <c r="AD91" s="113">
        <v>41</v>
      </c>
      <c r="AE91" s="113">
        <v>14</v>
      </c>
      <c r="AF91" s="113">
        <v>0</v>
      </c>
      <c r="AG91" s="113"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0</v>
      </c>
      <c r="AM91" s="113">
        <v>0</v>
      </c>
      <c r="AN91" s="113">
        <v>0</v>
      </c>
      <c r="AO91" s="113">
        <v>0</v>
      </c>
      <c r="AP91" s="113">
        <v>0</v>
      </c>
      <c r="AQ91" s="113">
        <v>0</v>
      </c>
      <c r="AR91" s="113">
        <v>0</v>
      </c>
      <c r="AS91" s="113">
        <v>0</v>
      </c>
      <c r="AT91" s="113">
        <v>0</v>
      </c>
      <c r="AU91" s="113">
        <v>0</v>
      </c>
      <c r="AV91" s="113">
        <v>0</v>
      </c>
      <c r="AW91" s="113">
        <v>0</v>
      </c>
      <c r="AX91" s="113">
        <v>0</v>
      </c>
      <c r="AY91" s="113">
        <v>0</v>
      </c>
      <c r="AZ91" s="113">
        <v>0</v>
      </c>
      <c r="BA91" s="113">
        <v>0</v>
      </c>
      <c r="BB91" s="113">
        <v>0</v>
      </c>
      <c r="BC91" s="113">
        <v>0</v>
      </c>
      <c r="BD91" s="113">
        <v>0</v>
      </c>
      <c r="BE91" s="113">
        <v>0</v>
      </c>
      <c r="BF91" s="113">
        <v>0</v>
      </c>
      <c r="BG91" s="113">
        <v>0</v>
      </c>
      <c r="BH91" s="113">
        <v>52</v>
      </c>
      <c r="BI91" s="113">
        <v>17</v>
      </c>
      <c r="BJ91" s="113">
        <v>0</v>
      </c>
      <c r="BK91" s="113">
        <v>0</v>
      </c>
      <c r="BL91" s="113">
        <v>0</v>
      </c>
      <c r="BM91" s="113">
        <v>0</v>
      </c>
      <c r="BN91" s="113">
        <v>0</v>
      </c>
      <c r="BO91" s="113">
        <v>0</v>
      </c>
      <c r="BP91" s="113">
        <v>0</v>
      </c>
      <c r="BQ91" s="113">
        <v>0</v>
      </c>
      <c r="BR91" s="113">
        <v>0</v>
      </c>
      <c r="BS91" s="113">
        <v>0</v>
      </c>
      <c r="BT91" s="113">
        <v>0</v>
      </c>
      <c r="BU91" s="113">
        <v>0</v>
      </c>
      <c r="BV91" s="172">
        <v>751</v>
      </c>
      <c r="BW91" s="172">
        <v>103</v>
      </c>
      <c r="BX91" s="172">
        <v>0</v>
      </c>
      <c r="BY91" s="168">
        <v>0</v>
      </c>
      <c r="BZ91" s="181">
        <v>0</v>
      </c>
      <c r="CA91" s="181">
        <v>0</v>
      </c>
      <c r="CB91" s="181">
        <v>0</v>
      </c>
      <c r="CC91" s="181">
        <v>0</v>
      </c>
      <c r="CD91" s="181">
        <v>9</v>
      </c>
      <c r="CE91" s="181">
        <v>9</v>
      </c>
      <c r="CF91" s="181">
        <v>0</v>
      </c>
      <c r="CG91" s="181">
        <v>0</v>
      </c>
      <c r="CH91" s="181">
        <v>0</v>
      </c>
      <c r="CI91" s="181">
        <v>0</v>
      </c>
      <c r="CJ91" s="181">
        <v>0</v>
      </c>
      <c r="CK91" s="181">
        <v>0</v>
      </c>
      <c r="CL91" s="181">
        <v>0</v>
      </c>
      <c r="CM91" s="181">
        <v>0</v>
      </c>
      <c r="CN91" s="181">
        <v>0</v>
      </c>
      <c r="CO91" s="181">
        <v>0</v>
      </c>
      <c r="CP91" s="181">
        <v>0</v>
      </c>
      <c r="CQ91" s="181">
        <v>0</v>
      </c>
      <c r="CR91" s="181">
        <v>0</v>
      </c>
      <c r="CS91" s="181">
        <v>0</v>
      </c>
      <c r="CT91" s="181">
        <v>0</v>
      </c>
      <c r="CU91" s="181">
        <v>0</v>
      </c>
      <c r="CV91" s="181">
        <v>0</v>
      </c>
      <c r="CW91" s="181">
        <v>0</v>
      </c>
      <c r="CX91" s="181">
        <v>0</v>
      </c>
      <c r="CY91" s="181">
        <v>0</v>
      </c>
      <c r="CZ91" s="181">
        <v>0</v>
      </c>
      <c r="DA91" s="181">
        <v>0</v>
      </c>
      <c r="DB91" s="181">
        <v>0</v>
      </c>
      <c r="DC91" s="181">
        <v>0</v>
      </c>
      <c r="DD91" s="181">
        <v>0</v>
      </c>
      <c r="DE91" s="181">
        <v>0</v>
      </c>
      <c r="DF91" s="181">
        <v>0</v>
      </c>
      <c r="DG91" s="181">
        <v>0</v>
      </c>
      <c r="DH91" s="181">
        <v>2</v>
      </c>
      <c r="DI91" s="181">
        <v>2</v>
      </c>
      <c r="DJ91" s="181">
        <v>0</v>
      </c>
      <c r="DK91" s="181">
        <v>0</v>
      </c>
      <c r="DL91" s="181">
        <v>0</v>
      </c>
      <c r="DM91" s="181">
        <v>0</v>
      </c>
      <c r="DN91" s="181">
        <v>0</v>
      </c>
      <c r="DO91" s="181">
        <v>0</v>
      </c>
      <c r="DP91" s="181">
        <v>0</v>
      </c>
      <c r="DQ91" s="181">
        <v>0</v>
      </c>
      <c r="DR91" s="181">
        <v>0</v>
      </c>
      <c r="DS91" s="181">
        <v>0</v>
      </c>
      <c r="DT91" s="181">
        <v>0</v>
      </c>
      <c r="DU91" s="181">
        <v>0</v>
      </c>
      <c r="DV91" s="181">
        <v>8</v>
      </c>
      <c r="DW91" s="181">
        <v>7</v>
      </c>
      <c r="DX91" s="181">
        <v>0</v>
      </c>
      <c r="DY91" s="181">
        <v>0</v>
      </c>
    </row>
    <row r="92" spans="9:129" ht="13.5">
      <c r="I92" s="169"/>
      <c r="J92" s="169"/>
      <c r="K92" s="169"/>
      <c r="M92" s="187"/>
      <c r="N92" s="188"/>
      <c r="O92" s="172" t="s">
        <v>38</v>
      </c>
      <c r="P92" s="172" t="s">
        <v>1544</v>
      </c>
      <c r="Q92" s="172" t="s">
        <v>1436</v>
      </c>
      <c r="R92" s="172" t="s">
        <v>1437</v>
      </c>
      <c r="S92" s="172">
        <v>1</v>
      </c>
      <c r="U92" s="172" t="s">
        <v>42</v>
      </c>
      <c r="V92" s="172" t="s">
        <v>1542</v>
      </c>
      <c r="W92" s="172" t="s">
        <v>1510</v>
      </c>
      <c r="X92" s="172">
        <v>10</v>
      </c>
      <c r="Y92" s="172" t="s">
        <v>1584</v>
      </c>
      <c r="Z92" s="113">
        <v>0</v>
      </c>
      <c r="AA92" s="113">
        <v>0</v>
      </c>
      <c r="AB92" s="113">
        <v>6721</v>
      </c>
      <c r="AC92" s="113">
        <v>989</v>
      </c>
      <c r="AD92" s="113">
        <v>2552</v>
      </c>
      <c r="AE92" s="113">
        <v>672</v>
      </c>
      <c r="AF92" s="113">
        <v>983</v>
      </c>
      <c r="AG92" s="113">
        <v>254</v>
      </c>
      <c r="AH92" s="113">
        <v>804</v>
      </c>
      <c r="AI92" s="113">
        <v>190</v>
      </c>
      <c r="AJ92" s="113">
        <v>1623</v>
      </c>
      <c r="AK92" s="113">
        <v>394</v>
      </c>
      <c r="AL92" s="113">
        <v>1477</v>
      </c>
      <c r="AM92" s="113">
        <v>395</v>
      </c>
      <c r="AN92" s="113">
        <v>507</v>
      </c>
      <c r="AO92" s="113">
        <v>80</v>
      </c>
      <c r="AP92" s="113">
        <v>997</v>
      </c>
      <c r="AQ92" s="113">
        <v>267</v>
      </c>
      <c r="AR92" s="113">
        <v>2245</v>
      </c>
      <c r="AS92" s="113">
        <v>514</v>
      </c>
      <c r="AT92" s="113">
        <v>1602</v>
      </c>
      <c r="AU92" s="113">
        <v>494</v>
      </c>
      <c r="AV92" s="113">
        <v>3595</v>
      </c>
      <c r="AW92" s="113">
        <v>871</v>
      </c>
      <c r="AX92" s="113">
        <v>546</v>
      </c>
      <c r="AY92" s="113">
        <v>115</v>
      </c>
      <c r="AZ92" s="113">
        <v>514</v>
      </c>
      <c r="BA92" s="113">
        <v>141</v>
      </c>
      <c r="BB92" s="113">
        <v>0</v>
      </c>
      <c r="BC92" s="113">
        <v>0</v>
      </c>
      <c r="BD92" s="113">
        <v>0</v>
      </c>
      <c r="BE92" s="113">
        <v>0</v>
      </c>
      <c r="BF92" s="113">
        <v>644</v>
      </c>
      <c r="BG92" s="113">
        <v>147</v>
      </c>
      <c r="BH92" s="113">
        <v>4335</v>
      </c>
      <c r="BI92" s="113">
        <v>645</v>
      </c>
      <c r="BJ92" s="113">
        <v>1984</v>
      </c>
      <c r="BK92" s="113">
        <v>350</v>
      </c>
      <c r="BL92" s="113">
        <v>416</v>
      </c>
      <c r="BM92" s="113">
        <v>112</v>
      </c>
      <c r="BN92" s="113">
        <v>744</v>
      </c>
      <c r="BO92" s="113">
        <v>139</v>
      </c>
      <c r="BP92" s="113">
        <v>467</v>
      </c>
      <c r="BQ92" s="113">
        <v>117</v>
      </c>
      <c r="BR92" s="113">
        <v>1065</v>
      </c>
      <c r="BS92" s="113">
        <v>212</v>
      </c>
      <c r="BT92" s="113">
        <v>401</v>
      </c>
      <c r="BU92" s="113">
        <v>94</v>
      </c>
      <c r="BV92" s="172">
        <v>0</v>
      </c>
      <c r="BW92" s="172">
        <v>0</v>
      </c>
      <c r="BX92" s="172">
        <v>0</v>
      </c>
      <c r="BY92" s="168">
        <v>0</v>
      </c>
      <c r="BZ92" s="181">
        <v>0</v>
      </c>
      <c r="CA92" s="181">
        <v>0</v>
      </c>
      <c r="CB92" s="181">
        <v>2</v>
      </c>
      <c r="CC92" s="181">
        <v>1</v>
      </c>
      <c r="CD92" s="181">
        <v>12</v>
      </c>
      <c r="CE92" s="181">
        <v>10</v>
      </c>
      <c r="CF92" s="181">
        <v>9</v>
      </c>
      <c r="CG92" s="181">
        <v>3</v>
      </c>
      <c r="CH92" s="181">
        <v>10</v>
      </c>
      <c r="CI92" s="181">
        <v>4</v>
      </c>
      <c r="CJ92" s="181">
        <v>10</v>
      </c>
      <c r="CK92" s="181">
        <v>5</v>
      </c>
      <c r="CL92" s="181">
        <v>5</v>
      </c>
      <c r="CM92" s="181">
        <v>0</v>
      </c>
      <c r="CN92" s="181">
        <v>10</v>
      </c>
      <c r="CO92" s="181">
        <v>9</v>
      </c>
      <c r="CP92" s="181">
        <v>3</v>
      </c>
      <c r="CQ92" s="181">
        <v>3</v>
      </c>
      <c r="CR92" s="181">
        <v>9</v>
      </c>
      <c r="CS92" s="181">
        <v>9</v>
      </c>
      <c r="CT92" s="181">
        <v>9</v>
      </c>
      <c r="CU92" s="181">
        <v>2</v>
      </c>
      <c r="CV92" s="181">
        <v>8</v>
      </c>
      <c r="CW92" s="181">
        <v>4</v>
      </c>
      <c r="CX92" s="181">
        <v>11</v>
      </c>
      <c r="CY92" s="181">
        <v>10</v>
      </c>
      <c r="CZ92" s="181">
        <v>2</v>
      </c>
      <c r="DA92" s="181">
        <v>2</v>
      </c>
      <c r="DB92" s="181">
        <v>0</v>
      </c>
      <c r="DC92" s="181">
        <v>0</v>
      </c>
      <c r="DD92" s="181">
        <v>0</v>
      </c>
      <c r="DE92" s="181">
        <v>0</v>
      </c>
      <c r="DF92" s="181">
        <v>7</v>
      </c>
      <c r="DG92" s="181">
        <v>1</v>
      </c>
      <c r="DH92" s="181">
        <v>6</v>
      </c>
      <c r="DI92" s="181">
        <v>3</v>
      </c>
      <c r="DJ92" s="181">
        <v>8</v>
      </c>
      <c r="DK92" s="181">
        <v>5</v>
      </c>
      <c r="DL92" s="181">
        <v>7</v>
      </c>
      <c r="DM92" s="181">
        <v>7</v>
      </c>
      <c r="DN92" s="181">
        <v>8</v>
      </c>
      <c r="DO92" s="181">
        <v>7</v>
      </c>
      <c r="DP92" s="181">
        <v>2</v>
      </c>
      <c r="DQ92" s="181">
        <v>0</v>
      </c>
      <c r="DR92" s="181">
        <v>5</v>
      </c>
      <c r="DS92" s="181">
        <v>4</v>
      </c>
      <c r="DT92" s="181">
        <v>5</v>
      </c>
      <c r="DU92" s="181">
        <v>3</v>
      </c>
      <c r="DV92" s="181">
        <v>0</v>
      </c>
      <c r="DW92" s="181">
        <v>0</v>
      </c>
      <c r="DX92" s="181">
        <v>0</v>
      </c>
      <c r="DY92" s="181">
        <v>0</v>
      </c>
    </row>
    <row r="93" spans="9:129" ht="13.5">
      <c r="I93" s="169"/>
      <c r="J93" s="169"/>
      <c r="K93" s="169"/>
      <c r="M93" s="187"/>
      <c r="N93" s="188"/>
      <c r="O93" s="172" t="s">
        <v>38</v>
      </c>
      <c r="P93" s="172" t="s">
        <v>1544</v>
      </c>
      <c r="Q93" s="172" t="s">
        <v>326</v>
      </c>
      <c r="R93" s="172" t="s">
        <v>1464</v>
      </c>
      <c r="S93" s="172">
        <v>2</v>
      </c>
      <c r="U93" s="172" t="s">
        <v>42</v>
      </c>
      <c r="V93" s="172" t="s">
        <v>1542</v>
      </c>
      <c r="W93" s="172" t="s">
        <v>339</v>
      </c>
      <c r="X93" s="172">
        <v>11</v>
      </c>
      <c r="Y93" s="172" t="s">
        <v>1585</v>
      </c>
      <c r="Z93" s="113">
        <v>0</v>
      </c>
      <c r="AA93" s="113">
        <v>0</v>
      </c>
      <c r="AB93" s="113">
        <v>0</v>
      </c>
      <c r="AC93" s="113">
        <v>0</v>
      </c>
      <c r="AD93" s="113">
        <v>1919</v>
      </c>
      <c r="AE93" s="113">
        <v>444</v>
      </c>
      <c r="AF93" s="113">
        <v>681</v>
      </c>
      <c r="AG93" s="113">
        <v>174</v>
      </c>
      <c r="AH93" s="113">
        <v>1240</v>
      </c>
      <c r="AI93" s="113">
        <v>355</v>
      </c>
      <c r="AJ93" s="113">
        <v>995</v>
      </c>
      <c r="AK93" s="113">
        <v>241</v>
      </c>
      <c r="AL93" s="113">
        <v>43</v>
      </c>
      <c r="AM93" s="113">
        <v>9</v>
      </c>
      <c r="AN93" s="113">
        <v>0</v>
      </c>
      <c r="AO93" s="113">
        <v>0</v>
      </c>
      <c r="AP93" s="113">
        <v>0</v>
      </c>
      <c r="AQ93" s="113">
        <v>0</v>
      </c>
      <c r="AR93" s="113">
        <v>968</v>
      </c>
      <c r="AS93" s="113">
        <v>297</v>
      </c>
      <c r="AT93" s="113">
        <v>1311</v>
      </c>
      <c r="AU93" s="113">
        <v>295</v>
      </c>
      <c r="AV93" s="113">
        <v>981</v>
      </c>
      <c r="AW93" s="113">
        <v>259</v>
      </c>
      <c r="AX93" s="113">
        <v>189</v>
      </c>
      <c r="AY93" s="113">
        <v>42</v>
      </c>
      <c r="AZ93" s="113">
        <v>354</v>
      </c>
      <c r="BA93" s="113">
        <v>89</v>
      </c>
      <c r="BB93" s="113">
        <v>260</v>
      </c>
      <c r="BC93" s="113">
        <v>81</v>
      </c>
      <c r="BD93" s="113">
        <v>13</v>
      </c>
      <c r="BE93" s="113">
        <v>1</v>
      </c>
      <c r="BF93" s="113">
        <v>705</v>
      </c>
      <c r="BG93" s="113">
        <v>173</v>
      </c>
      <c r="BH93" s="113">
        <v>966</v>
      </c>
      <c r="BI93" s="113">
        <v>305</v>
      </c>
      <c r="BJ93" s="113">
        <v>252</v>
      </c>
      <c r="BK93" s="113">
        <v>69</v>
      </c>
      <c r="BL93" s="113">
        <v>840</v>
      </c>
      <c r="BM93" s="113">
        <v>238</v>
      </c>
      <c r="BN93" s="113">
        <v>165</v>
      </c>
      <c r="BO93" s="113">
        <v>48</v>
      </c>
      <c r="BP93" s="113">
        <v>23</v>
      </c>
      <c r="BQ93" s="113">
        <v>4</v>
      </c>
      <c r="BR93" s="113">
        <v>314</v>
      </c>
      <c r="BS93" s="113">
        <v>89</v>
      </c>
      <c r="BT93" s="113">
        <v>258</v>
      </c>
      <c r="BU93" s="113">
        <v>70</v>
      </c>
      <c r="BV93" s="172">
        <v>240</v>
      </c>
      <c r="BW93" s="172">
        <v>93</v>
      </c>
      <c r="BX93" s="172">
        <v>248</v>
      </c>
      <c r="BY93" s="168">
        <v>110</v>
      </c>
      <c r="BZ93" s="181">
        <v>0</v>
      </c>
      <c r="CA93" s="181">
        <v>0</v>
      </c>
      <c r="CB93" s="181">
        <v>0</v>
      </c>
      <c r="CC93" s="181">
        <v>0</v>
      </c>
      <c r="CD93" s="181">
        <v>4</v>
      </c>
      <c r="CE93" s="181">
        <v>4</v>
      </c>
      <c r="CF93" s="181">
        <v>6</v>
      </c>
      <c r="CG93" s="181">
        <v>6</v>
      </c>
      <c r="CH93" s="181">
        <v>12</v>
      </c>
      <c r="CI93" s="181">
        <v>0</v>
      </c>
      <c r="CJ93" s="181">
        <v>11</v>
      </c>
      <c r="CK93" s="181">
        <v>0</v>
      </c>
      <c r="CL93" s="181">
        <v>6</v>
      </c>
      <c r="CM93" s="181">
        <v>1</v>
      </c>
      <c r="CN93" s="181">
        <v>0</v>
      </c>
      <c r="CO93" s="181">
        <v>0</v>
      </c>
      <c r="CP93" s="181">
        <v>0</v>
      </c>
      <c r="CQ93" s="181">
        <v>0</v>
      </c>
      <c r="CR93" s="181">
        <v>10</v>
      </c>
      <c r="CS93" s="181">
        <v>1</v>
      </c>
      <c r="CT93" s="181">
        <v>10</v>
      </c>
      <c r="CU93" s="181">
        <v>6</v>
      </c>
      <c r="CV93" s="181">
        <v>10</v>
      </c>
      <c r="CW93" s="181">
        <v>0</v>
      </c>
      <c r="CX93" s="181">
        <v>9</v>
      </c>
      <c r="CY93" s="181">
        <v>6</v>
      </c>
      <c r="CZ93" s="181">
        <v>3</v>
      </c>
      <c r="DA93" s="181">
        <v>1</v>
      </c>
      <c r="DB93" s="181">
        <v>12</v>
      </c>
      <c r="DC93" s="181">
        <v>4</v>
      </c>
      <c r="DD93" s="181">
        <v>3</v>
      </c>
      <c r="DE93" s="181">
        <v>3</v>
      </c>
      <c r="DF93" s="181">
        <v>12</v>
      </c>
      <c r="DG93" s="181">
        <v>10</v>
      </c>
      <c r="DH93" s="181">
        <v>3</v>
      </c>
      <c r="DI93" s="181">
        <v>2</v>
      </c>
      <c r="DJ93" s="181">
        <v>9</v>
      </c>
      <c r="DK93" s="181">
        <v>6</v>
      </c>
      <c r="DL93" s="181">
        <v>12</v>
      </c>
      <c r="DM93" s="181">
        <v>12</v>
      </c>
      <c r="DN93" s="181">
        <v>4</v>
      </c>
      <c r="DO93" s="181">
        <v>2</v>
      </c>
      <c r="DP93" s="181">
        <v>7</v>
      </c>
      <c r="DQ93" s="181">
        <v>2</v>
      </c>
      <c r="DR93" s="181">
        <v>8</v>
      </c>
      <c r="DS93" s="181">
        <v>6</v>
      </c>
      <c r="DT93" s="181">
        <v>5</v>
      </c>
      <c r="DU93" s="181">
        <v>4</v>
      </c>
      <c r="DV93" s="181">
        <v>7</v>
      </c>
      <c r="DW93" s="181">
        <v>0</v>
      </c>
      <c r="DX93" s="181">
        <v>3</v>
      </c>
      <c r="DY93" s="181">
        <v>0</v>
      </c>
    </row>
    <row r="94" spans="9:129" ht="13.5">
      <c r="I94" s="169"/>
      <c r="J94" s="169"/>
      <c r="K94" s="169"/>
      <c r="M94" s="187"/>
      <c r="N94" s="188"/>
      <c r="O94" s="172" t="s">
        <v>38</v>
      </c>
      <c r="P94" s="172" t="s">
        <v>1544</v>
      </c>
      <c r="Q94" s="172" t="s">
        <v>1466</v>
      </c>
      <c r="R94" s="172" t="s">
        <v>1467</v>
      </c>
      <c r="S94" s="172">
        <v>3</v>
      </c>
      <c r="U94" s="172" t="s">
        <v>43</v>
      </c>
      <c r="V94" s="172" t="s">
        <v>1543</v>
      </c>
      <c r="W94" s="172" t="s">
        <v>332</v>
      </c>
      <c r="X94" s="172">
        <v>1</v>
      </c>
      <c r="Y94" s="172" t="s">
        <v>1586</v>
      </c>
      <c r="Z94" s="113">
        <v>0</v>
      </c>
      <c r="AA94" s="113">
        <v>0</v>
      </c>
      <c r="AB94" s="113">
        <v>1305</v>
      </c>
      <c r="AC94" s="113">
        <v>196</v>
      </c>
      <c r="AD94" s="113">
        <v>3206</v>
      </c>
      <c r="AE94" s="113">
        <v>652</v>
      </c>
      <c r="AF94" s="113">
        <v>189</v>
      </c>
      <c r="AG94" s="113">
        <v>51</v>
      </c>
      <c r="AH94" s="113">
        <v>768</v>
      </c>
      <c r="AI94" s="113">
        <v>145</v>
      </c>
      <c r="AJ94" s="113">
        <v>237</v>
      </c>
      <c r="AK94" s="113">
        <v>76</v>
      </c>
      <c r="AL94" s="113">
        <v>109</v>
      </c>
      <c r="AM94" s="113">
        <v>38</v>
      </c>
      <c r="AN94" s="113">
        <v>0</v>
      </c>
      <c r="AO94" s="113">
        <v>0</v>
      </c>
      <c r="AP94" s="113">
        <v>0</v>
      </c>
      <c r="AQ94" s="113">
        <v>0</v>
      </c>
      <c r="AR94" s="113">
        <v>415</v>
      </c>
      <c r="AS94" s="113">
        <v>65</v>
      </c>
      <c r="AT94" s="113">
        <v>620</v>
      </c>
      <c r="AU94" s="113">
        <v>183</v>
      </c>
      <c r="AV94" s="113">
        <v>1094</v>
      </c>
      <c r="AW94" s="113">
        <v>188</v>
      </c>
      <c r="AX94" s="113">
        <v>233</v>
      </c>
      <c r="AY94" s="113">
        <v>45</v>
      </c>
      <c r="AZ94" s="113">
        <v>681</v>
      </c>
      <c r="BA94" s="113">
        <v>136</v>
      </c>
      <c r="BB94" s="113">
        <v>243</v>
      </c>
      <c r="BC94" s="113">
        <v>52</v>
      </c>
      <c r="BD94" s="113">
        <v>0</v>
      </c>
      <c r="BE94" s="113">
        <v>0</v>
      </c>
      <c r="BF94" s="113">
        <v>466</v>
      </c>
      <c r="BG94" s="113">
        <v>101</v>
      </c>
      <c r="BH94" s="113">
        <v>458</v>
      </c>
      <c r="BI94" s="113">
        <v>87</v>
      </c>
      <c r="BJ94" s="113">
        <v>1024</v>
      </c>
      <c r="BK94" s="113">
        <v>160</v>
      </c>
      <c r="BL94" s="113">
        <v>247</v>
      </c>
      <c r="BM94" s="113">
        <v>32</v>
      </c>
      <c r="BN94" s="113">
        <v>265</v>
      </c>
      <c r="BO94" s="113">
        <v>45</v>
      </c>
      <c r="BP94" s="113">
        <v>108</v>
      </c>
      <c r="BQ94" s="113">
        <v>16</v>
      </c>
      <c r="BR94" s="113">
        <v>358</v>
      </c>
      <c r="BS94" s="113">
        <v>75</v>
      </c>
      <c r="BT94" s="113">
        <v>114</v>
      </c>
      <c r="BU94" s="113">
        <v>21</v>
      </c>
      <c r="BV94" s="172">
        <v>247</v>
      </c>
      <c r="BW94" s="172">
        <v>63</v>
      </c>
      <c r="BX94" s="172">
        <v>606</v>
      </c>
      <c r="BY94" s="168">
        <v>149</v>
      </c>
      <c r="BZ94" s="181">
        <v>0</v>
      </c>
      <c r="CA94" s="181">
        <v>0</v>
      </c>
      <c r="CB94" s="181">
        <v>10</v>
      </c>
      <c r="CC94" s="181">
        <v>1</v>
      </c>
      <c r="CD94" s="181">
        <v>11</v>
      </c>
      <c r="CE94" s="181">
        <v>2</v>
      </c>
      <c r="CF94" s="181">
        <v>8</v>
      </c>
      <c r="CG94" s="181">
        <v>5</v>
      </c>
      <c r="CH94" s="181">
        <v>1</v>
      </c>
      <c r="CI94" s="181">
        <v>1</v>
      </c>
      <c r="CJ94" s="181">
        <v>2</v>
      </c>
      <c r="CK94" s="181">
        <v>2</v>
      </c>
      <c r="CL94" s="181">
        <v>12</v>
      </c>
      <c r="CM94" s="181">
        <v>7</v>
      </c>
      <c r="CN94" s="181">
        <v>0</v>
      </c>
      <c r="CO94" s="181">
        <v>0</v>
      </c>
      <c r="CP94" s="181">
        <v>0</v>
      </c>
      <c r="CQ94" s="181">
        <v>0</v>
      </c>
      <c r="CR94" s="181">
        <v>4</v>
      </c>
      <c r="CS94" s="181">
        <v>2</v>
      </c>
      <c r="CT94" s="181">
        <v>12</v>
      </c>
      <c r="CU94" s="181">
        <v>5</v>
      </c>
      <c r="CV94" s="181">
        <v>9</v>
      </c>
      <c r="CW94" s="181">
        <v>8</v>
      </c>
      <c r="CX94" s="181">
        <v>6</v>
      </c>
      <c r="CY94" s="181">
        <v>6</v>
      </c>
      <c r="CZ94" s="181">
        <v>8</v>
      </c>
      <c r="DA94" s="181">
        <v>7</v>
      </c>
      <c r="DB94" s="181">
        <v>3</v>
      </c>
      <c r="DC94" s="181">
        <v>3</v>
      </c>
      <c r="DD94" s="181">
        <v>0</v>
      </c>
      <c r="DE94" s="181">
        <v>0</v>
      </c>
      <c r="DF94" s="181">
        <v>0</v>
      </c>
      <c r="DG94" s="181">
        <v>0</v>
      </c>
      <c r="DH94" s="181">
        <v>2</v>
      </c>
      <c r="DI94" s="181">
        <v>1</v>
      </c>
      <c r="DJ94" s="181">
        <v>3</v>
      </c>
      <c r="DK94" s="181">
        <v>2</v>
      </c>
      <c r="DL94" s="181">
        <v>2</v>
      </c>
      <c r="DM94" s="181">
        <v>0</v>
      </c>
      <c r="DN94" s="181">
        <v>0</v>
      </c>
      <c r="DO94" s="181">
        <v>0</v>
      </c>
      <c r="DP94" s="181">
        <v>8</v>
      </c>
      <c r="DQ94" s="181">
        <v>8</v>
      </c>
      <c r="DR94" s="181">
        <v>8</v>
      </c>
      <c r="DS94" s="181">
        <v>1</v>
      </c>
      <c r="DT94" s="181">
        <v>5</v>
      </c>
      <c r="DU94" s="181">
        <v>3</v>
      </c>
      <c r="DV94" s="181">
        <v>8</v>
      </c>
      <c r="DW94" s="181">
        <v>8</v>
      </c>
      <c r="DX94" s="181">
        <v>12</v>
      </c>
      <c r="DY94" s="181">
        <v>12</v>
      </c>
    </row>
    <row r="95" spans="9:129" ht="13.5">
      <c r="I95" s="169"/>
      <c r="J95" s="169"/>
      <c r="K95" s="169"/>
      <c r="M95" s="187"/>
      <c r="N95" s="188"/>
      <c r="O95" s="172" t="s">
        <v>38</v>
      </c>
      <c r="P95" s="172" t="s">
        <v>1544</v>
      </c>
      <c r="Q95" s="172" t="s">
        <v>331</v>
      </c>
      <c r="R95" s="172" t="s">
        <v>1468</v>
      </c>
      <c r="S95" s="172">
        <v>4</v>
      </c>
      <c r="U95" s="172" t="s">
        <v>43</v>
      </c>
      <c r="V95" s="172" t="s">
        <v>1543</v>
      </c>
      <c r="W95" s="172" t="s">
        <v>1439</v>
      </c>
      <c r="X95" s="172">
        <v>2</v>
      </c>
      <c r="Y95" s="172" t="s">
        <v>1587</v>
      </c>
      <c r="Z95" s="113">
        <v>0</v>
      </c>
      <c r="AA95" s="113">
        <v>0</v>
      </c>
      <c r="AB95" s="113">
        <v>2649</v>
      </c>
      <c r="AC95" s="113">
        <v>302</v>
      </c>
      <c r="AD95" s="113">
        <v>1676</v>
      </c>
      <c r="AE95" s="113">
        <v>225</v>
      </c>
      <c r="AF95" s="113">
        <v>0</v>
      </c>
      <c r="AG95" s="113">
        <v>0</v>
      </c>
      <c r="AH95" s="113">
        <v>165</v>
      </c>
      <c r="AI95" s="113">
        <v>12</v>
      </c>
      <c r="AJ95" s="113">
        <v>1020</v>
      </c>
      <c r="AK95" s="113">
        <v>213</v>
      </c>
      <c r="AL95" s="113">
        <v>1718</v>
      </c>
      <c r="AM95" s="113">
        <v>251</v>
      </c>
      <c r="AN95" s="113">
        <v>78</v>
      </c>
      <c r="AO95" s="113">
        <v>20</v>
      </c>
      <c r="AP95" s="113">
        <v>140</v>
      </c>
      <c r="AQ95" s="113">
        <v>12</v>
      </c>
      <c r="AR95" s="113">
        <v>406</v>
      </c>
      <c r="AS95" s="113">
        <v>77</v>
      </c>
      <c r="AT95" s="113">
        <v>331</v>
      </c>
      <c r="AU95" s="113">
        <v>49</v>
      </c>
      <c r="AV95" s="113">
        <v>2692</v>
      </c>
      <c r="AW95" s="113">
        <v>431</v>
      </c>
      <c r="AX95" s="113">
        <v>0</v>
      </c>
      <c r="AY95" s="113">
        <v>0</v>
      </c>
      <c r="AZ95" s="113">
        <v>189</v>
      </c>
      <c r="BA95" s="113">
        <v>34</v>
      </c>
      <c r="BB95" s="113">
        <v>204</v>
      </c>
      <c r="BC95" s="113">
        <v>44</v>
      </c>
      <c r="BD95" s="113">
        <v>0</v>
      </c>
      <c r="BE95" s="113">
        <v>0</v>
      </c>
      <c r="BF95" s="113">
        <v>0</v>
      </c>
      <c r="BG95" s="113">
        <v>0</v>
      </c>
      <c r="BH95" s="113">
        <v>0</v>
      </c>
      <c r="BI95" s="113">
        <v>0</v>
      </c>
      <c r="BJ95" s="113">
        <v>0</v>
      </c>
      <c r="BK95" s="113">
        <v>0</v>
      </c>
      <c r="BL95" s="113">
        <v>28</v>
      </c>
      <c r="BM95" s="113">
        <v>9</v>
      </c>
      <c r="BN95" s="113">
        <v>127</v>
      </c>
      <c r="BO95" s="113">
        <v>15</v>
      </c>
      <c r="BP95" s="113">
        <v>578</v>
      </c>
      <c r="BQ95" s="113">
        <v>134</v>
      </c>
      <c r="BR95" s="113">
        <v>605</v>
      </c>
      <c r="BS95" s="113">
        <v>85</v>
      </c>
      <c r="BT95" s="113">
        <v>378</v>
      </c>
      <c r="BU95" s="113">
        <v>79</v>
      </c>
      <c r="BV95" s="172">
        <v>156</v>
      </c>
      <c r="BW95" s="172">
        <v>32</v>
      </c>
      <c r="BX95" s="172">
        <v>170</v>
      </c>
      <c r="BY95" s="168">
        <v>43</v>
      </c>
      <c r="BZ95" s="181">
        <v>0</v>
      </c>
      <c r="CA95" s="181">
        <v>0</v>
      </c>
      <c r="CB95" s="181">
        <v>10</v>
      </c>
      <c r="CC95" s="181">
        <v>5</v>
      </c>
      <c r="CD95" s="181">
        <v>8</v>
      </c>
      <c r="CE95" s="181">
        <v>3</v>
      </c>
      <c r="CF95" s="181">
        <v>0</v>
      </c>
      <c r="CG95" s="181">
        <v>0</v>
      </c>
      <c r="CH95" s="181">
        <v>10</v>
      </c>
      <c r="CI95" s="181">
        <v>6</v>
      </c>
      <c r="CJ95" s="181">
        <v>4</v>
      </c>
      <c r="CK95" s="181">
        <v>1</v>
      </c>
      <c r="CL95" s="181">
        <v>7</v>
      </c>
      <c r="CM95" s="181">
        <v>0</v>
      </c>
      <c r="CN95" s="181">
        <v>3</v>
      </c>
      <c r="CO95" s="181">
        <v>2</v>
      </c>
      <c r="CP95" s="181">
        <v>6</v>
      </c>
      <c r="CQ95" s="181">
        <v>1</v>
      </c>
      <c r="CR95" s="181">
        <v>0</v>
      </c>
      <c r="CS95" s="181">
        <v>0</v>
      </c>
      <c r="CT95" s="181">
        <v>3</v>
      </c>
      <c r="CU95" s="181">
        <v>2</v>
      </c>
      <c r="CV95" s="181">
        <v>5</v>
      </c>
      <c r="CW95" s="181">
        <v>2</v>
      </c>
      <c r="CX95" s="181">
        <v>0</v>
      </c>
      <c r="CY95" s="181">
        <v>0</v>
      </c>
      <c r="CZ95" s="181">
        <v>1</v>
      </c>
      <c r="DA95" s="181">
        <v>1</v>
      </c>
      <c r="DB95" s="181">
        <v>3</v>
      </c>
      <c r="DC95" s="181">
        <v>2</v>
      </c>
      <c r="DD95" s="181">
        <v>0</v>
      </c>
      <c r="DE95" s="181">
        <v>0</v>
      </c>
      <c r="DF95" s="181">
        <v>0</v>
      </c>
      <c r="DG95" s="181">
        <v>0</v>
      </c>
      <c r="DH95" s="181">
        <v>0</v>
      </c>
      <c r="DI95" s="181">
        <v>0</v>
      </c>
      <c r="DJ95" s="181">
        <v>0</v>
      </c>
      <c r="DK95" s="181">
        <v>0</v>
      </c>
      <c r="DL95" s="181">
        <v>12</v>
      </c>
      <c r="DM95" s="181">
        <v>8</v>
      </c>
      <c r="DN95" s="181">
        <v>3</v>
      </c>
      <c r="DO95" s="181">
        <v>3</v>
      </c>
      <c r="DP95" s="181">
        <v>5</v>
      </c>
      <c r="DQ95" s="181">
        <v>4</v>
      </c>
      <c r="DR95" s="181">
        <v>12</v>
      </c>
      <c r="DS95" s="181">
        <v>5</v>
      </c>
      <c r="DT95" s="181">
        <v>8</v>
      </c>
      <c r="DU95" s="181">
        <v>5</v>
      </c>
      <c r="DV95" s="181">
        <v>1</v>
      </c>
      <c r="DW95" s="181">
        <v>1</v>
      </c>
      <c r="DX95" s="181">
        <v>2</v>
      </c>
      <c r="DY95" s="181">
        <v>2</v>
      </c>
    </row>
    <row r="96" spans="9:129" ht="13.5">
      <c r="I96" s="169"/>
      <c r="J96" s="169"/>
      <c r="K96" s="169"/>
      <c r="M96" s="187"/>
      <c r="N96" s="188"/>
      <c r="O96" s="172" t="s">
        <v>38</v>
      </c>
      <c r="P96" s="172" t="s">
        <v>1544</v>
      </c>
      <c r="Q96" s="172" t="s">
        <v>1470</v>
      </c>
      <c r="R96" s="172" t="s">
        <v>1471</v>
      </c>
      <c r="S96" s="172">
        <v>5</v>
      </c>
      <c r="U96" s="172" t="s">
        <v>38</v>
      </c>
      <c r="V96" s="172" t="s">
        <v>1544</v>
      </c>
      <c r="W96" s="172" t="s">
        <v>1436</v>
      </c>
      <c r="X96" s="172">
        <v>1</v>
      </c>
      <c r="Y96" s="172" t="s">
        <v>1588</v>
      </c>
      <c r="Z96" s="113">
        <v>0</v>
      </c>
      <c r="AA96" s="113">
        <v>0</v>
      </c>
      <c r="AB96" s="113">
        <v>7534</v>
      </c>
      <c r="AC96" s="113">
        <v>1006</v>
      </c>
      <c r="AD96" s="113">
        <v>848</v>
      </c>
      <c r="AE96" s="113">
        <v>88</v>
      </c>
      <c r="AF96" s="113">
        <v>0</v>
      </c>
      <c r="AG96" s="113">
        <v>0</v>
      </c>
      <c r="AH96" s="113">
        <v>251</v>
      </c>
      <c r="AI96" s="113">
        <v>54</v>
      </c>
      <c r="AJ96" s="113">
        <v>1589</v>
      </c>
      <c r="AK96" s="113">
        <v>320</v>
      </c>
      <c r="AL96" s="113">
        <v>889</v>
      </c>
      <c r="AM96" s="113">
        <v>191</v>
      </c>
      <c r="AN96" s="113">
        <v>412</v>
      </c>
      <c r="AO96" s="113">
        <v>77</v>
      </c>
      <c r="AP96" s="113">
        <v>972</v>
      </c>
      <c r="AQ96" s="113">
        <v>197</v>
      </c>
      <c r="AR96" s="113">
        <v>1475</v>
      </c>
      <c r="AS96" s="113">
        <v>146</v>
      </c>
      <c r="AT96" s="113">
        <v>2036</v>
      </c>
      <c r="AU96" s="113">
        <v>366</v>
      </c>
      <c r="AV96" s="113">
        <v>3592</v>
      </c>
      <c r="AW96" s="113">
        <v>622</v>
      </c>
      <c r="AX96" s="113">
        <v>1334</v>
      </c>
      <c r="AY96" s="113">
        <v>229</v>
      </c>
      <c r="AZ96" s="113">
        <v>483</v>
      </c>
      <c r="BA96" s="113">
        <v>79</v>
      </c>
      <c r="BB96" s="113">
        <v>0</v>
      </c>
      <c r="BC96" s="113">
        <v>0</v>
      </c>
      <c r="BD96" s="113">
        <v>0</v>
      </c>
      <c r="BE96" s="113">
        <v>0</v>
      </c>
      <c r="BF96" s="113">
        <v>0</v>
      </c>
      <c r="BG96" s="113">
        <v>0</v>
      </c>
      <c r="BH96" s="113">
        <v>4807</v>
      </c>
      <c r="BI96" s="113">
        <v>884</v>
      </c>
      <c r="BJ96" s="113">
        <v>2855</v>
      </c>
      <c r="BK96" s="113">
        <v>377</v>
      </c>
      <c r="BL96" s="113">
        <v>1063</v>
      </c>
      <c r="BM96" s="113">
        <v>196</v>
      </c>
      <c r="BN96" s="113">
        <v>259</v>
      </c>
      <c r="BO96" s="113">
        <v>35</v>
      </c>
      <c r="BP96" s="113">
        <v>1128</v>
      </c>
      <c r="BQ96" s="113">
        <v>186</v>
      </c>
      <c r="BR96" s="113">
        <v>790</v>
      </c>
      <c r="BS96" s="113">
        <v>151</v>
      </c>
      <c r="BT96" s="113">
        <v>81</v>
      </c>
      <c r="BU96" s="113">
        <v>10</v>
      </c>
      <c r="BV96" s="172">
        <v>217</v>
      </c>
      <c r="BW96" s="172">
        <v>70</v>
      </c>
      <c r="BX96" s="172">
        <v>120</v>
      </c>
      <c r="BY96" s="168">
        <v>12</v>
      </c>
      <c r="BZ96" s="181">
        <v>0</v>
      </c>
      <c r="CA96" s="181">
        <v>0</v>
      </c>
      <c r="CB96" s="181">
        <v>1</v>
      </c>
      <c r="CC96" s="181">
        <v>0</v>
      </c>
      <c r="CD96" s="181">
        <v>8</v>
      </c>
      <c r="CE96" s="181">
        <v>7</v>
      </c>
      <c r="CF96" s="181">
        <v>0</v>
      </c>
      <c r="CG96" s="181">
        <v>0</v>
      </c>
      <c r="CH96" s="181">
        <v>2</v>
      </c>
      <c r="CI96" s="181">
        <v>2</v>
      </c>
      <c r="CJ96" s="181">
        <v>2</v>
      </c>
      <c r="CK96" s="181">
        <v>2</v>
      </c>
      <c r="CL96" s="181">
        <v>7</v>
      </c>
      <c r="CM96" s="181">
        <v>3</v>
      </c>
      <c r="CN96" s="181">
        <v>5</v>
      </c>
      <c r="CO96" s="181">
        <v>4</v>
      </c>
      <c r="CP96" s="181">
        <v>4</v>
      </c>
      <c r="CQ96" s="181">
        <v>3</v>
      </c>
      <c r="CR96" s="181">
        <v>12</v>
      </c>
      <c r="CS96" s="181">
        <v>11</v>
      </c>
      <c r="CT96" s="181">
        <v>1</v>
      </c>
      <c r="CU96" s="181">
        <v>0</v>
      </c>
      <c r="CV96" s="181">
        <v>2</v>
      </c>
      <c r="CW96" s="181">
        <v>1</v>
      </c>
      <c r="CX96" s="181">
        <v>6</v>
      </c>
      <c r="CY96" s="181">
        <v>0</v>
      </c>
      <c r="CZ96" s="181">
        <v>9</v>
      </c>
      <c r="DA96" s="181">
        <v>5</v>
      </c>
      <c r="DB96" s="181">
        <v>0</v>
      </c>
      <c r="DC96" s="181">
        <v>0</v>
      </c>
      <c r="DD96" s="181">
        <v>0</v>
      </c>
      <c r="DE96" s="181">
        <v>0</v>
      </c>
      <c r="DF96" s="181">
        <v>0</v>
      </c>
      <c r="DG96" s="181">
        <v>0</v>
      </c>
      <c r="DH96" s="181">
        <v>8</v>
      </c>
      <c r="DI96" s="181">
        <v>8</v>
      </c>
      <c r="DJ96" s="181">
        <v>3</v>
      </c>
      <c r="DK96" s="181">
        <v>2</v>
      </c>
      <c r="DL96" s="181">
        <v>0</v>
      </c>
      <c r="DM96" s="181">
        <v>0</v>
      </c>
      <c r="DN96" s="181">
        <v>5</v>
      </c>
      <c r="DO96" s="181">
        <v>4</v>
      </c>
      <c r="DP96" s="181">
        <v>6</v>
      </c>
      <c r="DQ96" s="181">
        <v>6</v>
      </c>
      <c r="DR96" s="181">
        <v>7</v>
      </c>
      <c r="DS96" s="181">
        <v>5</v>
      </c>
      <c r="DT96" s="181">
        <v>5</v>
      </c>
      <c r="DU96" s="181">
        <v>4</v>
      </c>
      <c r="DV96" s="181">
        <v>8</v>
      </c>
      <c r="DW96" s="181">
        <v>0</v>
      </c>
      <c r="DX96" s="181">
        <v>9</v>
      </c>
      <c r="DY96" s="181">
        <v>8</v>
      </c>
    </row>
    <row r="97" spans="9:129" ht="13.5">
      <c r="I97" s="169"/>
      <c r="J97" s="169"/>
      <c r="K97" s="169"/>
      <c r="M97" s="187"/>
      <c r="N97" s="188"/>
      <c r="O97" s="172" t="s">
        <v>35</v>
      </c>
      <c r="P97" s="172" t="s">
        <v>1545</v>
      </c>
      <c r="Q97" s="172" t="s">
        <v>1433</v>
      </c>
      <c r="R97" s="172" t="s">
        <v>1434</v>
      </c>
      <c r="S97" s="172">
        <v>1</v>
      </c>
      <c r="U97" s="172" t="s">
        <v>38</v>
      </c>
      <c r="V97" s="172" t="s">
        <v>1544</v>
      </c>
      <c r="W97" s="172" t="s">
        <v>326</v>
      </c>
      <c r="X97" s="172">
        <v>2</v>
      </c>
      <c r="Y97" s="172" t="s">
        <v>1589</v>
      </c>
      <c r="Z97" s="113">
        <v>0</v>
      </c>
      <c r="AA97" s="113">
        <v>0</v>
      </c>
      <c r="AB97" s="113">
        <v>120</v>
      </c>
      <c r="AC97" s="113">
        <v>30</v>
      </c>
      <c r="AD97" s="113">
        <v>0</v>
      </c>
      <c r="AE97" s="113">
        <v>0</v>
      </c>
      <c r="AF97" s="113">
        <v>0</v>
      </c>
      <c r="AG97" s="113">
        <v>0</v>
      </c>
      <c r="AH97" s="113">
        <v>0</v>
      </c>
      <c r="AI97" s="113">
        <v>0</v>
      </c>
      <c r="AJ97" s="113">
        <v>27</v>
      </c>
      <c r="AK97" s="113">
        <v>12</v>
      </c>
      <c r="AL97" s="113">
        <v>0</v>
      </c>
      <c r="AM97" s="113">
        <v>0</v>
      </c>
      <c r="AN97" s="113">
        <v>0</v>
      </c>
      <c r="AO97" s="113">
        <v>0</v>
      </c>
      <c r="AP97" s="113">
        <v>0</v>
      </c>
      <c r="AQ97" s="113">
        <v>0</v>
      </c>
      <c r="AR97" s="113">
        <v>0</v>
      </c>
      <c r="AS97" s="113">
        <v>0</v>
      </c>
      <c r="AT97" s="113">
        <v>0</v>
      </c>
      <c r="AU97" s="113">
        <v>0</v>
      </c>
      <c r="AV97" s="113">
        <v>54</v>
      </c>
      <c r="AW97" s="113">
        <v>8</v>
      </c>
      <c r="AX97" s="113">
        <v>0</v>
      </c>
      <c r="AY97" s="113">
        <v>0</v>
      </c>
      <c r="AZ97" s="113">
        <v>0</v>
      </c>
      <c r="BA97" s="113">
        <v>0</v>
      </c>
      <c r="BB97" s="113">
        <v>0</v>
      </c>
      <c r="BC97" s="113">
        <v>0</v>
      </c>
      <c r="BD97" s="113">
        <v>0</v>
      </c>
      <c r="BE97" s="113">
        <v>0</v>
      </c>
      <c r="BF97" s="113">
        <v>0</v>
      </c>
      <c r="BG97" s="113">
        <v>0</v>
      </c>
      <c r="BH97" s="113">
        <v>90</v>
      </c>
      <c r="BI97" s="113">
        <v>27</v>
      </c>
      <c r="BJ97" s="113">
        <v>0</v>
      </c>
      <c r="BK97" s="113">
        <v>0</v>
      </c>
      <c r="BL97" s="113">
        <v>0</v>
      </c>
      <c r="BM97" s="113">
        <v>0</v>
      </c>
      <c r="BN97" s="113">
        <v>0</v>
      </c>
      <c r="BO97" s="113">
        <v>0</v>
      </c>
      <c r="BP97" s="113">
        <v>0</v>
      </c>
      <c r="BQ97" s="113">
        <v>0</v>
      </c>
      <c r="BR97" s="113">
        <v>0</v>
      </c>
      <c r="BS97" s="113">
        <v>0</v>
      </c>
      <c r="BT97" s="113">
        <v>0</v>
      </c>
      <c r="BU97" s="113">
        <v>0</v>
      </c>
      <c r="BV97" s="172">
        <v>54</v>
      </c>
      <c r="BW97" s="172">
        <v>10</v>
      </c>
      <c r="BX97" s="172">
        <v>0</v>
      </c>
      <c r="BY97" s="168">
        <v>0</v>
      </c>
      <c r="BZ97" s="181">
        <v>0</v>
      </c>
      <c r="CA97" s="181">
        <v>0</v>
      </c>
      <c r="CB97" s="181">
        <v>7</v>
      </c>
      <c r="CC97" s="181">
        <v>2</v>
      </c>
      <c r="CD97" s="181">
        <v>0</v>
      </c>
      <c r="CE97" s="181">
        <v>0</v>
      </c>
      <c r="CF97" s="181">
        <v>0</v>
      </c>
      <c r="CG97" s="181">
        <v>0</v>
      </c>
      <c r="CH97" s="181">
        <v>0</v>
      </c>
      <c r="CI97" s="181">
        <v>0</v>
      </c>
      <c r="CJ97" s="181">
        <v>12</v>
      </c>
      <c r="CK97" s="181">
        <v>9</v>
      </c>
      <c r="CL97" s="181">
        <v>0</v>
      </c>
      <c r="CM97" s="181">
        <v>0</v>
      </c>
      <c r="CN97" s="181">
        <v>0</v>
      </c>
      <c r="CO97" s="181">
        <v>0</v>
      </c>
      <c r="CP97" s="181">
        <v>0</v>
      </c>
      <c r="CQ97" s="181">
        <v>0</v>
      </c>
      <c r="CR97" s="181">
        <v>0</v>
      </c>
      <c r="CS97" s="181">
        <v>0</v>
      </c>
      <c r="CT97" s="181">
        <v>0</v>
      </c>
      <c r="CU97" s="181">
        <v>0</v>
      </c>
      <c r="CV97" s="181">
        <v>12</v>
      </c>
      <c r="CW97" s="181">
        <v>7</v>
      </c>
      <c r="CX97" s="181">
        <v>0</v>
      </c>
      <c r="CY97" s="181">
        <v>0</v>
      </c>
      <c r="CZ97" s="181">
        <v>0</v>
      </c>
      <c r="DA97" s="181">
        <v>0</v>
      </c>
      <c r="DB97" s="181">
        <v>0</v>
      </c>
      <c r="DC97" s="181">
        <v>0</v>
      </c>
      <c r="DD97" s="181">
        <v>0</v>
      </c>
      <c r="DE97" s="181">
        <v>0</v>
      </c>
      <c r="DF97" s="181">
        <v>0</v>
      </c>
      <c r="DG97" s="181">
        <v>0</v>
      </c>
      <c r="DH97" s="181">
        <v>5</v>
      </c>
      <c r="DI97" s="181">
        <v>0</v>
      </c>
      <c r="DJ97" s="181">
        <v>0</v>
      </c>
      <c r="DK97" s="181">
        <v>0</v>
      </c>
      <c r="DL97" s="181">
        <v>0</v>
      </c>
      <c r="DM97" s="181">
        <v>0</v>
      </c>
      <c r="DN97" s="181">
        <v>0</v>
      </c>
      <c r="DO97" s="181">
        <v>0</v>
      </c>
      <c r="DP97" s="181">
        <v>0</v>
      </c>
      <c r="DQ97" s="181">
        <v>0</v>
      </c>
      <c r="DR97" s="181">
        <v>0</v>
      </c>
      <c r="DS97" s="181">
        <v>0</v>
      </c>
      <c r="DT97" s="181">
        <v>0</v>
      </c>
      <c r="DU97" s="181">
        <v>0</v>
      </c>
      <c r="DV97" s="181">
        <v>9</v>
      </c>
      <c r="DW97" s="181">
        <v>0</v>
      </c>
      <c r="DX97" s="181">
        <v>0</v>
      </c>
      <c r="DY97" s="181">
        <v>0</v>
      </c>
    </row>
    <row r="98" spans="1:130" s="191" customFormat="1" ht="13.5">
      <c r="A98" s="187"/>
      <c r="B98" s="167"/>
      <c r="C98" s="167"/>
      <c r="D98" s="167"/>
      <c r="E98" s="167"/>
      <c r="F98" s="167"/>
      <c r="G98" s="167"/>
      <c r="H98" s="167"/>
      <c r="I98" s="169"/>
      <c r="J98" s="169"/>
      <c r="K98" s="169"/>
      <c r="L98" s="169"/>
      <c r="M98" s="187"/>
      <c r="N98" s="188"/>
      <c r="O98" s="172" t="s">
        <v>35</v>
      </c>
      <c r="P98" s="172" t="s">
        <v>1545</v>
      </c>
      <c r="Q98" s="172" t="s">
        <v>1473</v>
      </c>
      <c r="R98" s="172" t="s">
        <v>1474</v>
      </c>
      <c r="S98" s="172">
        <v>2</v>
      </c>
      <c r="T98" s="189"/>
      <c r="U98" s="172" t="s">
        <v>38</v>
      </c>
      <c r="V98" s="172" t="s">
        <v>1544</v>
      </c>
      <c r="W98" s="172" t="s">
        <v>1466</v>
      </c>
      <c r="X98" s="172">
        <v>3</v>
      </c>
      <c r="Y98" s="172" t="s">
        <v>1590</v>
      </c>
      <c r="Z98" s="113">
        <v>3958</v>
      </c>
      <c r="AA98" s="113">
        <v>481</v>
      </c>
      <c r="AB98" s="113">
        <v>3875</v>
      </c>
      <c r="AC98" s="113">
        <v>311</v>
      </c>
      <c r="AD98" s="113">
        <v>3740</v>
      </c>
      <c r="AE98" s="113">
        <v>557</v>
      </c>
      <c r="AF98" s="113">
        <v>0</v>
      </c>
      <c r="AG98" s="113">
        <v>0</v>
      </c>
      <c r="AH98" s="113">
        <v>3318</v>
      </c>
      <c r="AI98" s="113">
        <v>463</v>
      </c>
      <c r="AJ98" s="113">
        <v>1871</v>
      </c>
      <c r="AK98" s="113">
        <v>279</v>
      </c>
      <c r="AL98" s="113">
        <v>3134</v>
      </c>
      <c r="AM98" s="113">
        <v>393</v>
      </c>
      <c r="AN98" s="113">
        <v>199</v>
      </c>
      <c r="AO98" s="113">
        <v>17</v>
      </c>
      <c r="AP98" s="113">
        <v>0</v>
      </c>
      <c r="AQ98" s="113">
        <v>0</v>
      </c>
      <c r="AR98" s="113">
        <v>6060</v>
      </c>
      <c r="AS98" s="113">
        <v>802</v>
      </c>
      <c r="AT98" s="113">
        <v>1583</v>
      </c>
      <c r="AU98" s="113">
        <v>359</v>
      </c>
      <c r="AV98" s="113">
        <v>4709</v>
      </c>
      <c r="AW98" s="113">
        <v>385</v>
      </c>
      <c r="AX98" s="113">
        <v>0</v>
      </c>
      <c r="AY98" s="113">
        <v>0</v>
      </c>
      <c r="AZ98" s="113">
        <v>1243</v>
      </c>
      <c r="BA98" s="113">
        <v>206</v>
      </c>
      <c r="BB98" s="113">
        <v>1232</v>
      </c>
      <c r="BC98" s="113">
        <v>195</v>
      </c>
      <c r="BD98" s="113">
        <v>221</v>
      </c>
      <c r="BE98" s="113">
        <v>25</v>
      </c>
      <c r="BF98" s="113">
        <v>2659</v>
      </c>
      <c r="BG98" s="113">
        <v>390</v>
      </c>
      <c r="BH98" s="113">
        <v>952</v>
      </c>
      <c r="BI98" s="113">
        <v>85</v>
      </c>
      <c r="BJ98" s="113">
        <v>0</v>
      </c>
      <c r="BK98" s="113">
        <v>0</v>
      </c>
      <c r="BL98" s="113">
        <v>1398</v>
      </c>
      <c r="BM98" s="113">
        <v>187</v>
      </c>
      <c r="BN98" s="113">
        <v>1227</v>
      </c>
      <c r="BO98" s="113">
        <v>173</v>
      </c>
      <c r="BP98" s="113">
        <v>0</v>
      </c>
      <c r="BQ98" s="113">
        <v>0</v>
      </c>
      <c r="BR98" s="113">
        <v>459</v>
      </c>
      <c r="BS98" s="113">
        <v>64</v>
      </c>
      <c r="BT98" s="113">
        <v>828</v>
      </c>
      <c r="BU98" s="113">
        <v>122</v>
      </c>
      <c r="BV98" s="172">
        <v>0</v>
      </c>
      <c r="BW98" s="172">
        <v>0</v>
      </c>
      <c r="BX98" s="172">
        <v>0</v>
      </c>
      <c r="BY98" s="168">
        <v>0</v>
      </c>
      <c r="BZ98" s="181">
        <v>7</v>
      </c>
      <c r="CA98" s="181">
        <v>0</v>
      </c>
      <c r="CB98" s="181">
        <v>8</v>
      </c>
      <c r="CC98" s="181">
        <v>4</v>
      </c>
      <c r="CD98" s="181">
        <v>8</v>
      </c>
      <c r="CE98" s="181">
        <v>1</v>
      </c>
      <c r="CF98" s="181">
        <v>0</v>
      </c>
      <c r="CG98" s="181">
        <v>0</v>
      </c>
      <c r="CH98" s="181">
        <v>5</v>
      </c>
      <c r="CI98" s="181">
        <v>2</v>
      </c>
      <c r="CJ98" s="181">
        <v>3</v>
      </c>
      <c r="CK98" s="181">
        <v>1</v>
      </c>
      <c r="CL98" s="181">
        <v>9</v>
      </c>
      <c r="CM98" s="181">
        <v>8</v>
      </c>
      <c r="CN98" s="181">
        <v>9</v>
      </c>
      <c r="CO98" s="181">
        <v>5</v>
      </c>
      <c r="CP98" s="181">
        <v>0</v>
      </c>
      <c r="CQ98" s="181">
        <v>0</v>
      </c>
      <c r="CR98" s="181">
        <v>9</v>
      </c>
      <c r="CS98" s="181">
        <v>7</v>
      </c>
      <c r="CT98" s="181">
        <v>0</v>
      </c>
      <c r="CU98" s="181">
        <v>0</v>
      </c>
      <c r="CV98" s="181">
        <v>8</v>
      </c>
      <c r="CW98" s="181">
        <v>3</v>
      </c>
      <c r="CX98" s="181">
        <v>0</v>
      </c>
      <c r="CY98" s="181">
        <v>0</v>
      </c>
      <c r="CZ98" s="181">
        <v>3</v>
      </c>
      <c r="DA98" s="181">
        <v>1</v>
      </c>
      <c r="DB98" s="181">
        <v>4</v>
      </c>
      <c r="DC98" s="181">
        <v>2</v>
      </c>
      <c r="DD98" s="181">
        <v>3</v>
      </c>
      <c r="DE98" s="181">
        <v>2</v>
      </c>
      <c r="DF98" s="181">
        <v>4</v>
      </c>
      <c r="DG98" s="181">
        <v>1</v>
      </c>
      <c r="DH98" s="181">
        <v>7</v>
      </c>
      <c r="DI98" s="181">
        <v>5</v>
      </c>
      <c r="DJ98" s="181">
        <v>0</v>
      </c>
      <c r="DK98" s="181">
        <v>0</v>
      </c>
      <c r="DL98" s="181">
        <v>10</v>
      </c>
      <c r="DM98" s="181">
        <v>10</v>
      </c>
      <c r="DN98" s="181">
        <v>8</v>
      </c>
      <c r="DO98" s="181">
        <v>8</v>
      </c>
      <c r="DP98" s="181">
        <v>0</v>
      </c>
      <c r="DQ98" s="181">
        <v>0</v>
      </c>
      <c r="DR98" s="181">
        <v>5</v>
      </c>
      <c r="DS98" s="181">
        <v>1</v>
      </c>
      <c r="DT98" s="181">
        <v>5</v>
      </c>
      <c r="DU98" s="181">
        <v>2</v>
      </c>
      <c r="DV98" s="181">
        <v>0</v>
      </c>
      <c r="DW98" s="181">
        <v>0</v>
      </c>
      <c r="DX98" s="181">
        <v>0</v>
      </c>
      <c r="DY98" s="181">
        <v>0</v>
      </c>
      <c r="DZ98" s="190"/>
    </row>
    <row r="99" spans="9:129" ht="13.5">
      <c r="I99" s="169"/>
      <c r="J99" s="169"/>
      <c r="K99" s="169"/>
      <c r="M99" s="187"/>
      <c r="N99" s="188"/>
      <c r="O99" s="172" t="s">
        <v>35</v>
      </c>
      <c r="P99" s="172" t="s">
        <v>1545</v>
      </c>
      <c r="Q99" s="172" t="s">
        <v>338</v>
      </c>
      <c r="R99" s="172" t="s">
        <v>1490</v>
      </c>
      <c r="S99" s="172">
        <v>3</v>
      </c>
      <c r="U99" s="172" t="s">
        <v>38</v>
      </c>
      <c r="V99" s="172" t="s">
        <v>1544</v>
      </c>
      <c r="W99" s="172" t="s">
        <v>331</v>
      </c>
      <c r="X99" s="172">
        <v>4</v>
      </c>
      <c r="Y99" s="172" t="s">
        <v>1591</v>
      </c>
      <c r="Z99" s="113">
        <v>0</v>
      </c>
      <c r="AA99" s="113">
        <v>0</v>
      </c>
      <c r="AB99" s="113">
        <v>0</v>
      </c>
      <c r="AC99" s="113">
        <v>0</v>
      </c>
      <c r="AD99" s="113">
        <v>528</v>
      </c>
      <c r="AE99" s="113">
        <v>240</v>
      </c>
      <c r="AF99" s="113">
        <v>13</v>
      </c>
      <c r="AG99" s="113">
        <v>0</v>
      </c>
      <c r="AH99" s="113">
        <v>0</v>
      </c>
      <c r="AI99" s="113">
        <v>0</v>
      </c>
      <c r="AJ99" s="113">
        <v>0</v>
      </c>
      <c r="AK99" s="113">
        <v>0</v>
      </c>
      <c r="AL99" s="113">
        <v>0</v>
      </c>
      <c r="AM99" s="113">
        <v>0</v>
      </c>
      <c r="AN99" s="113">
        <v>0</v>
      </c>
      <c r="AO99" s="113">
        <v>0</v>
      </c>
      <c r="AP99" s="113">
        <v>0</v>
      </c>
      <c r="AQ99" s="113">
        <v>0</v>
      </c>
      <c r="AR99" s="113">
        <v>0</v>
      </c>
      <c r="AS99" s="113">
        <v>0</v>
      </c>
      <c r="AT99" s="113">
        <v>0</v>
      </c>
      <c r="AU99" s="113">
        <v>0</v>
      </c>
      <c r="AV99" s="113">
        <v>2405</v>
      </c>
      <c r="AW99" s="113">
        <v>848</v>
      </c>
      <c r="AX99" s="113">
        <v>0</v>
      </c>
      <c r="AY99" s="113">
        <v>0</v>
      </c>
      <c r="AZ99" s="113">
        <v>0</v>
      </c>
      <c r="BA99" s="113">
        <v>0</v>
      </c>
      <c r="BB99" s="113">
        <v>0</v>
      </c>
      <c r="BC99" s="113">
        <v>0</v>
      </c>
      <c r="BD99" s="113">
        <v>0</v>
      </c>
      <c r="BE99" s="113">
        <v>0</v>
      </c>
      <c r="BF99" s="113">
        <v>0</v>
      </c>
      <c r="BG99" s="113">
        <v>0</v>
      </c>
      <c r="BH99" s="113">
        <v>0</v>
      </c>
      <c r="BI99" s="113">
        <v>0</v>
      </c>
      <c r="BJ99" s="113">
        <v>452</v>
      </c>
      <c r="BK99" s="113">
        <v>165</v>
      </c>
      <c r="BL99" s="113">
        <v>0</v>
      </c>
      <c r="BM99" s="113">
        <v>0</v>
      </c>
      <c r="BN99" s="113">
        <v>0</v>
      </c>
      <c r="BO99" s="113">
        <v>0</v>
      </c>
      <c r="BP99" s="113">
        <v>0</v>
      </c>
      <c r="BQ99" s="113">
        <v>0</v>
      </c>
      <c r="BR99" s="113">
        <v>199</v>
      </c>
      <c r="BS99" s="113">
        <v>65</v>
      </c>
      <c r="BT99" s="113">
        <v>32</v>
      </c>
      <c r="BU99" s="113">
        <v>19</v>
      </c>
      <c r="BV99" s="172">
        <v>876</v>
      </c>
      <c r="BW99" s="172">
        <v>161</v>
      </c>
      <c r="BX99" s="172">
        <v>234</v>
      </c>
      <c r="BY99" s="168">
        <v>23</v>
      </c>
      <c r="BZ99" s="181">
        <v>0</v>
      </c>
      <c r="CA99" s="181">
        <v>0</v>
      </c>
      <c r="CB99" s="181">
        <v>0</v>
      </c>
      <c r="CC99" s="181">
        <v>0</v>
      </c>
      <c r="CD99" s="181">
        <v>6</v>
      </c>
      <c r="CE99" s="181">
        <v>3</v>
      </c>
      <c r="CF99" s="181">
        <v>12</v>
      </c>
      <c r="CG99" s="181">
        <v>0</v>
      </c>
      <c r="CH99" s="181">
        <v>0</v>
      </c>
      <c r="CI99" s="181">
        <v>0</v>
      </c>
      <c r="CJ99" s="181">
        <v>0</v>
      </c>
      <c r="CK99" s="181">
        <v>0</v>
      </c>
      <c r="CL99" s="181">
        <v>0</v>
      </c>
      <c r="CM99" s="181">
        <v>0</v>
      </c>
      <c r="CN99" s="181">
        <v>0</v>
      </c>
      <c r="CO99" s="181">
        <v>0</v>
      </c>
      <c r="CP99" s="181">
        <v>0</v>
      </c>
      <c r="CQ99" s="181">
        <v>0</v>
      </c>
      <c r="CR99" s="181">
        <v>0</v>
      </c>
      <c r="CS99" s="181">
        <v>0</v>
      </c>
      <c r="CT99" s="181">
        <v>0</v>
      </c>
      <c r="CU99" s="181">
        <v>0</v>
      </c>
      <c r="CV99" s="181">
        <v>12</v>
      </c>
      <c r="CW99" s="181">
        <v>2</v>
      </c>
      <c r="CX99" s="181">
        <v>0</v>
      </c>
      <c r="CY99" s="181">
        <v>0</v>
      </c>
      <c r="CZ99" s="181">
        <v>0</v>
      </c>
      <c r="DA99" s="181">
        <v>0</v>
      </c>
      <c r="DB99" s="181">
        <v>0</v>
      </c>
      <c r="DC99" s="181">
        <v>0</v>
      </c>
      <c r="DD99" s="181">
        <v>0</v>
      </c>
      <c r="DE99" s="181">
        <v>0</v>
      </c>
      <c r="DF99" s="181">
        <v>0</v>
      </c>
      <c r="DG99" s="181">
        <v>0</v>
      </c>
      <c r="DH99" s="181">
        <v>0</v>
      </c>
      <c r="DI99" s="181">
        <v>0</v>
      </c>
      <c r="DJ99" s="181">
        <v>1</v>
      </c>
      <c r="DK99" s="181">
        <v>0</v>
      </c>
      <c r="DL99" s="181">
        <v>0</v>
      </c>
      <c r="DM99" s="181">
        <v>0</v>
      </c>
      <c r="DN99" s="181">
        <v>0</v>
      </c>
      <c r="DO99" s="181">
        <v>0</v>
      </c>
      <c r="DP99" s="181">
        <v>0</v>
      </c>
      <c r="DQ99" s="181">
        <v>0</v>
      </c>
      <c r="DR99" s="181">
        <v>5</v>
      </c>
      <c r="DS99" s="181">
        <v>3</v>
      </c>
      <c r="DT99" s="181">
        <v>12</v>
      </c>
      <c r="DU99" s="181">
        <v>9</v>
      </c>
      <c r="DV99" s="181">
        <v>3</v>
      </c>
      <c r="DW99" s="181">
        <v>1</v>
      </c>
      <c r="DX99" s="181">
        <v>3</v>
      </c>
      <c r="DY99" s="181">
        <v>0</v>
      </c>
    </row>
    <row r="100" spans="9:129" ht="13.5">
      <c r="I100" s="169"/>
      <c r="J100" s="169"/>
      <c r="K100" s="169"/>
      <c r="M100" s="187"/>
      <c r="N100" s="188"/>
      <c r="O100" s="172" t="s">
        <v>35</v>
      </c>
      <c r="P100" s="172" t="s">
        <v>1545</v>
      </c>
      <c r="Q100" s="172" t="s">
        <v>1491</v>
      </c>
      <c r="R100" s="172" t="s">
        <v>1492</v>
      </c>
      <c r="S100" s="172">
        <v>4</v>
      </c>
      <c r="U100" s="172" t="s">
        <v>38</v>
      </c>
      <c r="V100" s="172" t="s">
        <v>1544</v>
      </c>
      <c r="W100" s="172" t="s">
        <v>1470</v>
      </c>
      <c r="X100" s="172">
        <v>5</v>
      </c>
      <c r="Y100" s="172" t="s">
        <v>1592</v>
      </c>
      <c r="Z100" s="113">
        <v>0</v>
      </c>
      <c r="AA100" s="113">
        <v>0</v>
      </c>
      <c r="AB100" s="113">
        <v>0</v>
      </c>
      <c r="AC100" s="113">
        <v>0</v>
      </c>
      <c r="AD100" s="113">
        <v>0</v>
      </c>
      <c r="AE100" s="113">
        <v>0</v>
      </c>
      <c r="AF100" s="113">
        <v>435</v>
      </c>
      <c r="AG100" s="113">
        <v>81</v>
      </c>
      <c r="AH100" s="113">
        <v>0</v>
      </c>
      <c r="AI100" s="113">
        <v>0</v>
      </c>
      <c r="AJ100" s="113">
        <v>0</v>
      </c>
      <c r="AK100" s="113">
        <v>0</v>
      </c>
      <c r="AL100" s="113">
        <v>0</v>
      </c>
      <c r="AM100" s="113">
        <v>0</v>
      </c>
      <c r="AN100" s="113">
        <v>0</v>
      </c>
      <c r="AO100" s="113">
        <v>0</v>
      </c>
      <c r="AP100" s="113">
        <v>1</v>
      </c>
      <c r="AQ100" s="113">
        <v>2</v>
      </c>
      <c r="AR100" s="113">
        <v>0</v>
      </c>
      <c r="AS100" s="113">
        <v>0</v>
      </c>
      <c r="AT100" s="113"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v>0</v>
      </c>
      <c r="AZ100" s="113">
        <v>0</v>
      </c>
      <c r="BA100" s="113">
        <v>0</v>
      </c>
      <c r="BB100" s="113">
        <v>0</v>
      </c>
      <c r="BC100" s="113">
        <v>0</v>
      </c>
      <c r="BD100" s="113">
        <v>0</v>
      </c>
      <c r="BE100" s="113">
        <v>0</v>
      </c>
      <c r="BF100" s="113">
        <v>0</v>
      </c>
      <c r="BG100" s="113">
        <v>0</v>
      </c>
      <c r="BH100" s="113">
        <v>0</v>
      </c>
      <c r="BI100" s="113">
        <v>0</v>
      </c>
      <c r="BJ100" s="113">
        <v>0</v>
      </c>
      <c r="BK100" s="113">
        <v>0</v>
      </c>
      <c r="BL100" s="113">
        <v>0</v>
      </c>
      <c r="BM100" s="113">
        <v>0</v>
      </c>
      <c r="BN100" s="113">
        <v>7</v>
      </c>
      <c r="BO100" s="113">
        <v>8</v>
      </c>
      <c r="BP100" s="113">
        <v>0</v>
      </c>
      <c r="BQ100" s="113">
        <v>0</v>
      </c>
      <c r="BR100" s="113">
        <v>18</v>
      </c>
      <c r="BS100" s="113">
        <v>5</v>
      </c>
      <c r="BT100" s="113">
        <v>0</v>
      </c>
      <c r="BU100" s="113">
        <v>0</v>
      </c>
      <c r="BV100" s="172">
        <v>15</v>
      </c>
      <c r="BW100" s="172">
        <v>5</v>
      </c>
      <c r="BX100" s="172">
        <v>0</v>
      </c>
      <c r="BY100" s="168">
        <v>0</v>
      </c>
      <c r="BZ100" s="181">
        <v>0</v>
      </c>
      <c r="CA100" s="181">
        <v>0</v>
      </c>
      <c r="CB100" s="181">
        <v>0</v>
      </c>
      <c r="CC100" s="181">
        <v>0</v>
      </c>
      <c r="CD100" s="181">
        <v>0</v>
      </c>
      <c r="CE100" s="181">
        <v>0</v>
      </c>
      <c r="CF100" s="181">
        <v>11</v>
      </c>
      <c r="CG100" s="181">
        <v>10</v>
      </c>
      <c r="CH100" s="181">
        <v>0</v>
      </c>
      <c r="CI100" s="181">
        <v>0</v>
      </c>
      <c r="CJ100" s="181">
        <v>0</v>
      </c>
      <c r="CK100" s="181">
        <v>0</v>
      </c>
      <c r="CL100" s="181">
        <v>0</v>
      </c>
      <c r="CM100" s="181">
        <v>0</v>
      </c>
      <c r="CN100" s="181">
        <v>0</v>
      </c>
      <c r="CO100" s="181">
        <v>0</v>
      </c>
      <c r="CP100" s="181">
        <v>8</v>
      </c>
      <c r="CQ100" s="181">
        <v>8</v>
      </c>
      <c r="CR100" s="181">
        <v>0</v>
      </c>
      <c r="CS100" s="181">
        <v>0</v>
      </c>
      <c r="CT100" s="181">
        <v>0</v>
      </c>
      <c r="CU100" s="181">
        <v>0</v>
      </c>
      <c r="CV100" s="181">
        <v>0</v>
      </c>
      <c r="CW100" s="181">
        <v>0</v>
      </c>
      <c r="CX100" s="181">
        <v>0</v>
      </c>
      <c r="CY100" s="181">
        <v>0</v>
      </c>
      <c r="CZ100" s="181">
        <v>0</v>
      </c>
      <c r="DA100" s="181">
        <v>0</v>
      </c>
      <c r="DB100" s="181">
        <v>0</v>
      </c>
      <c r="DC100" s="181">
        <v>0</v>
      </c>
      <c r="DD100" s="181">
        <v>0</v>
      </c>
      <c r="DE100" s="181">
        <v>0</v>
      </c>
      <c r="DF100" s="181">
        <v>0</v>
      </c>
      <c r="DG100" s="181">
        <v>0</v>
      </c>
      <c r="DH100" s="181">
        <v>0</v>
      </c>
      <c r="DI100" s="181">
        <v>0</v>
      </c>
      <c r="DJ100" s="181">
        <v>0</v>
      </c>
      <c r="DK100" s="181">
        <v>0</v>
      </c>
      <c r="DL100" s="181">
        <v>0</v>
      </c>
      <c r="DM100" s="181">
        <v>0</v>
      </c>
      <c r="DN100" s="181">
        <v>3</v>
      </c>
      <c r="DO100" s="181">
        <v>0</v>
      </c>
      <c r="DP100" s="181">
        <v>0</v>
      </c>
      <c r="DQ100" s="181">
        <v>0</v>
      </c>
      <c r="DR100" s="181">
        <v>9</v>
      </c>
      <c r="DS100" s="181">
        <v>8</v>
      </c>
      <c r="DT100" s="181">
        <v>0</v>
      </c>
      <c r="DU100" s="181">
        <v>0</v>
      </c>
      <c r="DV100" s="181">
        <v>6</v>
      </c>
      <c r="DW100" s="181">
        <v>4</v>
      </c>
      <c r="DX100" s="181">
        <v>0</v>
      </c>
      <c r="DY100" s="181">
        <v>0</v>
      </c>
    </row>
    <row r="101" spans="2:129" ht="13.5">
      <c r="B101" s="187"/>
      <c r="C101" s="187"/>
      <c r="D101" s="187"/>
      <c r="E101" s="187"/>
      <c r="F101" s="187"/>
      <c r="G101" s="187"/>
      <c r="H101" s="187"/>
      <c r="I101" s="199"/>
      <c r="J101" s="199"/>
      <c r="K101" s="199"/>
      <c r="L101" s="199"/>
      <c r="M101" s="187"/>
      <c r="N101" s="188"/>
      <c r="O101" s="171" t="s">
        <v>34</v>
      </c>
      <c r="P101" s="172" t="s">
        <v>1537</v>
      </c>
      <c r="Q101" s="171" t="s">
        <v>1597</v>
      </c>
      <c r="R101" s="171" t="s">
        <v>1598</v>
      </c>
      <c r="S101" s="171">
        <v>1</v>
      </c>
      <c r="U101" s="172" t="s">
        <v>35</v>
      </c>
      <c r="V101" s="172" t="s">
        <v>1545</v>
      </c>
      <c r="W101" s="172" t="s">
        <v>1433</v>
      </c>
      <c r="X101" s="172">
        <v>1</v>
      </c>
      <c r="Y101" s="172" t="s">
        <v>1593</v>
      </c>
      <c r="Z101" s="113">
        <v>0</v>
      </c>
      <c r="AA101" s="113">
        <v>0</v>
      </c>
      <c r="AB101" s="113">
        <v>0</v>
      </c>
      <c r="AC101" s="113">
        <v>0</v>
      </c>
      <c r="AD101" s="113">
        <v>51</v>
      </c>
      <c r="AE101" s="113">
        <v>27</v>
      </c>
      <c r="AF101" s="113">
        <v>401</v>
      </c>
      <c r="AG101" s="113">
        <v>125</v>
      </c>
      <c r="AH101" s="113">
        <v>0</v>
      </c>
      <c r="AI101" s="113">
        <v>0</v>
      </c>
      <c r="AJ101" s="113">
        <v>0</v>
      </c>
      <c r="AK101" s="113">
        <v>0</v>
      </c>
      <c r="AL101" s="113">
        <v>0</v>
      </c>
      <c r="AM101" s="113">
        <v>0</v>
      </c>
      <c r="AN101" s="113">
        <v>0</v>
      </c>
      <c r="AO101" s="113">
        <v>0</v>
      </c>
      <c r="AP101" s="113">
        <v>1</v>
      </c>
      <c r="AQ101" s="113">
        <v>0</v>
      </c>
      <c r="AR101" s="113">
        <v>9</v>
      </c>
      <c r="AS101" s="113">
        <v>1</v>
      </c>
      <c r="AT101" s="113">
        <v>0</v>
      </c>
      <c r="AU101" s="113">
        <v>0</v>
      </c>
      <c r="AV101" s="113">
        <v>56</v>
      </c>
      <c r="AW101" s="113">
        <v>1</v>
      </c>
      <c r="AX101" s="113">
        <v>0</v>
      </c>
      <c r="AY101" s="113">
        <v>0</v>
      </c>
      <c r="AZ101" s="113">
        <v>0</v>
      </c>
      <c r="BA101" s="113">
        <v>0</v>
      </c>
      <c r="BB101" s="113">
        <v>0</v>
      </c>
      <c r="BC101" s="113">
        <v>0</v>
      </c>
      <c r="BD101" s="113">
        <v>0</v>
      </c>
      <c r="BE101" s="113">
        <v>0</v>
      </c>
      <c r="BF101" s="113">
        <v>0</v>
      </c>
      <c r="BG101" s="113">
        <v>0</v>
      </c>
      <c r="BH101" s="113">
        <v>11</v>
      </c>
      <c r="BI101" s="113">
        <v>2</v>
      </c>
      <c r="BJ101" s="113">
        <v>0</v>
      </c>
      <c r="BK101" s="113">
        <v>0</v>
      </c>
      <c r="BL101" s="113">
        <v>0</v>
      </c>
      <c r="BM101" s="113">
        <v>0</v>
      </c>
      <c r="BN101" s="113">
        <v>157</v>
      </c>
      <c r="BO101" s="113">
        <v>56</v>
      </c>
      <c r="BP101" s="113">
        <v>0</v>
      </c>
      <c r="BQ101" s="113">
        <v>0</v>
      </c>
      <c r="BR101" s="113">
        <v>144</v>
      </c>
      <c r="BS101" s="113">
        <v>77</v>
      </c>
      <c r="BT101" s="113">
        <v>0</v>
      </c>
      <c r="BU101" s="113">
        <v>0</v>
      </c>
      <c r="BV101" s="172">
        <v>0</v>
      </c>
      <c r="BW101" s="172">
        <v>0</v>
      </c>
      <c r="BX101" s="172">
        <v>0</v>
      </c>
      <c r="BY101" s="168">
        <v>0</v>
      </c>
      <c r="BZ101" s="181">
        <v>0</v>
      </c>
      <c r="CA101" s="181">
        <v>0</v>
      </c>
      <c r="CB101" s="181">
        <v>0</v>
      </c>
      <c r="CC101" s="181">
        <v>0</v>
      </c>
      <c r="CD101" s="181">
        <v>1</v>
      </c>
      <c r="CE101" s="181">
        <v>0</v>
      </c>
      <c r="CF101" s="181">
        <v>7</v>
      </c>
      <c r="CG101" s="181">
        <v>7</v>
      </c>
      <c r="CH101" s="181">
        <v>0</v>
      </c>
      <c r="CI101" s="181">
        <v>0</v>
      </c>
      <c r="CJ101" s="181">
        <v>0</v>
      </c>
      <c r="CK101" s="181">
        <v>0</v>
      </c>
      <c r="CL101" s="181">
        <v>0</v>
      </c>
      <c r="CM101" s="181">
        <v>0</v>
      </c>
      <c r="CN101" s="181">
        <v>0</v>
      </c>
      <c r="CO101" s="181">
        <v>0</v>
      </c>
      <c r="CP101" s="181">
        <v>7</v>
      </c>
      <c r="CQ101" s="181">
        <v>0</v>
      </c>
      <c r="CR101" s="181">
        <v>3</v>
      </c>
      <c r="CS101" s="181">
        <v>3</v>
      </c>
      <c r="CT101" s="181">
        <v>0</v>
      </c>
      <c r="CU101" s="181">
        <v>0</v>
      </c>
      <c r="CV101" s="181">
        <v>3</v>
      </c>
      <c r="CW101" s="181">
        <v>0</v>
      </c>
      <c r="CX101" s="181">
        <v>0</v>
      </c>
      <c r="CY101" s="181">
        <v>0</v>
      </c>
      <c r="CZ101" s="181">
        <v>0</v>
      </c>
      <c r="DA101" s="181">
        <v>0</v>
      </c>
      <c r="DB101" s="181">
        <v>0</v>
      </c>
      <c r="DC101" s="181">
        <v>0</v>
      </c>
      <c r="DD101" s="181">
        <v>0</v>
      </c>
      <c r="DE101" s="181">
        <v>0</v>
      </c>
      <c r="DF101" s="181">
        <v>0</v>
      </c>
      <c r="DG101" s="181">
        <v>0</v>
      </c>
      <c r="DH101" s="181">
        <v>6</v>
      </c>
      <c r="DI101" s="181">
        <v>2</v>
      </c>
      <c r="DJ101" s="181">
        <v>0</v>
      </c>
      <c r="DK101" s="181">
        <v>0</v>
      </c>
      <c r="DL101" s="181">
        <v>0</v>
      </c>
      <c r="DM101" s="181">
        <v>0</v>
      </c>
      <c r="DN101" s="181">
        <v>10</v>
      </c>
      <c r="DO101" s="181">
        <v>3</v>
      </c>
      <c r="DP101" s="181">
        <v>0</v>
      </c>
      <c r="DQ101" s="181">
        <v>0</v>
      </c>
      <c r="DR101" s="181">
        <v>0</v>
      </c>
      <c r="DS101" s="181">
        <v>0</v>
      </c>
      <c r="DT101" s="181">
        <v>0</v>
      </c>
      <c r="DU101" s="181">
        <v>0</v>
      </c>
      <c r="DV101" s="181">
        <v>0</v>
      </c>
      <c r="DW101" s="181">
        <v>0</v>
      </c>
      <c r="DX101" s="181">
        <v>0</v>
      </c>
      <c r="DY101" s="181">
        <v>0</v>
      </c>
    </row>
    <row r="102" spans="9:129" ht="13.5">
      <c r="I102" s="169"/>
      <c r="J102" s="169"/>
      <c r="K102" s="169"/>
      <c r="M102" s="187"/>
      <c r="N102" s="188"/>
      <c r="O102" s="171"/>
      <c r="Q102" s="171"/>
      <c r="R102" s="171"/>
      <c r="S102" s="171"/>
      <c r="U102" s="172" t="s">
        <v>35</v>
      </c>
      <c r="V102" s="172" t="s">
        <v>1545</v>
      </c>
      <c r="W102" s="172" t="s">
        <v>1473</v>
      </c>
      <c r="X102" s="172">
        <v>2</v>
      </c>
      <c r="Y102" s="172" t="s">
        <v>1594</v>
      </c>
      <c r="Z102" s="113">
        <v>0</v>
      </c>
      <c r="AA102" s="113">
        <v>0</v>
      </c>
      <c r="AB102" s="113">
        <v>5312</v>
      </c>
      <c r="AC102" s="113">
        <v>847</v>
      </c>
      <c r="AD102" s="113">
        <v>1023</v>
      </c>
      <c r="AE102" s="113">
        <v>264</v>
      </c>
      <c r="AF102" s="113">
        <v>0</v>
      </c>
      <c r="AG102" s="113">
        <v>0</v>
      </c>
      <c r="AH102" s="113">
        <v>384</v>
      </c>
      <c r="AI102" s="113">
        <v>147</v>
      </c>
      <c r="AJ102" s="113">
        <v>1202</v>
      </c>
      <c r="AK102" s="113">
        <v>212</v>
      </c>
      <c r="AL102" s="113">
        <v>1356</v>
      </c>
      <c r="AM102" s="113">
        <v>372</v>
      </c>
      <c r="AN102" s="113">
        <v>0</v>
      </c>
      <c r="AO102" s="113">
        <v>0</v>
      </c>
      <c r="AP102" s="113">
        <v>0</v>
      </c>
      <c r="AQ102" s="113">
        <v>0</v>
      </c>
      <c r="AR102" s="113">
        <v>1870</v>
      </c>
      <c r="AS102" s="113">
        <v>469</v>
      </c>
      <c r="AT102" s="113">
        <v>715</v>
      </c>
      <c r="AU102" s="113">
        <v>147</v>
      </c>
      <c r="AV102" s="113">
        <v>1972</v>
      </c>
      <c r="AW102" s="113">
        <v>312</v>
      </c>
      <c r="AX102" s="113">
        <v>305</v>
      </c>
      <c r="AY102" s="113">
        <v>56</v>
      </c>
      <c r="AZ102" s="113">
        <v>138</v>
      </c>
      <c r="BA102" s="113">
        <v>37</v>
      </c>
      <c r="BB102" s="113">
        <v>0</v>
      </c>
      <c r="BC102" s="113">
        <v>0</v>
      </c>
      <c r="BD102" s="113">
        <v>0</v>
      </c>
      <c r="BE102" s="113">
        <v>0</v>
      </c>
      <c r="BF102" s="113">
        <v>77</v>
      </c>
      <c r="BG102" s="113">
        <v>38</v>
      </c>
      <c r="BH102" s="113">
        <v>100</v>
      </c>
      <c r="BI102" s="113">
        <v>13</v>
      </c>
      <c r="BJ102" s="113">
        <v>0</v>
      </c>
      <c r="BK102" s="113">
        <v>0</v>
      </c>
      <c r="BL102" s="113">
        <v>139</v>
      </c>
      <c r="BM102" s="113">
        <v>35</v>
      </c>
      <c r="BN102" s="113">
        <v>81</v>
      </c>
      <c r="BO102" s="113">
        <v>26</v>
      </c>
      <c r="BP102" s="113">
        <v>159</v>
      </c>
      <c r="BQ102" s="113">
        <v>28</v>
      </c>
      <c r="BR102" s="113">
        <v>883</v>
      </c>
      <c r="BS102" s="113">
        <v>179</v>
      </c>
      <c r="BT102" s="113">
        <v>68</v>
      </c>
      <c r="BU102" s="113">
        <v>31</v>
      </c>
      <c r="BV102" s="172">
        <v>0</v>
      </c>
      <c r="BW102" s="172">
        <v>0</v>
      </c>
      <c r="BX102" s="172">
        <v>0</v>
      </c>
      <c r="BY102" s="168">
        <v>0</v>
      </c>
      <c r="BZ102" s="181">
        <v>0</v>
      </c>
      <c r="CA102" s="181">
        <v>0</v>
      </c>
      <c r="CB102" s="181">
        <v>0</v>
      </c>
      <c r="CC102" s="181">
        <v>0</v>
      </c>
      <c r="CD102" s="181">
        <v>9</v>
      </c>
      <c r="CE102" s="181">
        <v>5</v>
      </c>
      <c r="CF102" s="181">
        <v>0</v>
      </c>
      <c r="CG102" s="181">
        <v>0</v>
      </c>
      <c r="CH102" s="181">
        <v>12</v>
      </c>
      <c r="CI102" s="181">
        <v>6</v>
      </c>
      <c r="CJ102" s="181">
        <v>12</v>
      </c>
      <c r="CK102" s="181">
        <v>7</v>
      </c>
      <c r="CL102" s="181">
        <v>8</v>
      </c>
      <c r="CM102" s="181">
        <v>0</v>
      </c>
      <c r="CN102" s="181">
        <v>0</v>
      </c>
      <c r="CO102" s="181">
        <v>0</v>
      </c>
      <c r="CP102" s="181">
        <v>0</v>
      </c>
      <c r="CQ102" s="181">
        <v>0</v>
      </c>
      <c r="CR102" s="181">
        <v>3</v>
      </c>
      <c r="CS102" s="181">
        <v>1</v>
      </c>
      <c r="CT102" s="181">
        <v>2</v>
      </c>
      <c r="CU102" s="181">
        <v>0</v>
      </c>
      <c r="CV102" s="181">
        <v>6</v>
      </c>
      <c r="CW102" s="181">
        <v>2</v>
      </c>
      <c r="CX102" s="181">
        <v>2</v>
      </c>
      <c r="CY102" s="181">
        <v>1</v>
      </c>
      <c r="CZ102" s="181">
        <v>9</v>
      </c>
      <c r="DA102" s="181">
        <v>3</v>
      </c>
      <c r="DB102" s="181">
        <v>0</v>
      </c>
      <c r="DC102" s="181">
        <v>0</v>
      </c>
      <c r="DD102" s="181">
        <v>0</v>
      </c>
      <c r="DE102" s="181">
        <v>0</v>
      </c>
      <c r="DF102" s="181">
        <v>11</v>
      </c>
      <c r="DG102" s="181">
        <v>8</v>
      </c>
      <c r="DH102" s="181">
        <v>11</v>
      </c>
      <c r="DI102" s="181">
        <v>9</v>
      </c>
      <c r="DJ102" s="181">
        <v>0</v>
      </c>
      <c r="DK102" s="181">
        <v>0</v>
      </c>
      <c r="DL102" s="181">
        <v>11</v>
      </c>
      <c r="DM102" s="181">
        <v>0</v>
      </c>
      <c r="DN102" s="181">
        <v>10</v>
      </c>
      <c r="DO102" s="181">
        <v>2</v>
      </c>
      <c r="DP102" s="181">
        <v>8</v>
      </c>
      <c r="DQ102" s="181">
        <v>3</v>
      </c>
      <c r="DR102" s="181">
        <v>12</v>
      </c>
      <c r="DS102" s="181">
        <v>7</v>
      </c>
      <c r="DT102" s="181">
        <v>9</v>
      </c>
      <c r="DU102" s="181">
        <v>9</v>
      </c>
      <c r="DV102" s="181">
        <v>0</v>
      </c>
      <c r="DW102" s="181">
        <v>0</v>
      </c>
      <c r="DX102" s="181">
        <v>0</v>
      </c>
      <c r="DY102" s="181">
        <v>0</v>
      </c>
    </row>
    <row r="103" spans="9:129" ht="13.5">
      <c r="I103" s="169"/>
      <c r="J103" s="169"/>
      <c r="K103" s="169"/>
      <c r="M103" s="187"/>
      <c r="N103" s="188"/>
      <c r="O103" s="171"/>
      <c r="Q103" s="171"/>
      <c r="R103" s="171"/>
      <c r="S103" s="171"/>
      <c r="U103" s="172" t="s">
        <v>35</v>
      </c>
      <c r="V103" s="172" t="s">
        <v>1545</v>
      </c>
      <c r="W103" s="172" t="s">
        <v>338</v>
      </c>
      <c r="X103" s="172">
        <v>3</v>
      </c>
      <c r="Y103" s="172" t="s">
        <v>1595</v>
      </c>
      <c r="Z103" s="113">
        <v>0</v>
      </c>
      <c r="AA103" s="113">
        <v>0</v>
      </c>
      <c r="AB103" s="113">
        <v>160</v>
      </c>
      <c r="AC103" s="113">
        <v>52</v>
      </c>
      <c r="AD103" s="113">
        <v>2</v>
      </c>
      <c r="AE103" s="113">
        <v>0</v>
      </c>
      <c r="AF103" s="113">
        <v>0</v>
      </c>
      <c r="AG103" s="113">
        <v>0</v>
      </c>
      <c r="AH103" s="113">
        <v>0</v>
      </c>
      <c r="AI103" s="113">
        <v>0</v>
      </c>
      <c r="AJ103" s="113">
        <v>131</v>
      </c>
      <c r="AK103" s="113">
        <v>85</v>
      </c>
      <c r="AL103" s="113">
        <v>28</v>
      </c>
      <c r="AM103" s="113">
        <v>8</v>
      </c>
      <c r="AN103" s="113">
        <v>0</v>
      </c>
      <c r="AO103" s="113">
        <v>0</v>
      </c>
      <c r="AP103" s="113">
        <v>29</v>
      </c>
      <c r="AQ103" s="113">
        <v>4</v>
      </c>
      <c r="AR103" s="113">
        <v>469</v>
      </c>
      <c r="AS103" s="113">
        <v>103</v>
      </c>
      <c r="AT103" s="113">
        <v>144</v>
      </c>
      <c r="AU103" s="113">
        <v>75</v>
      </c>
      <c r="AV103" s="113">
        <v>278</v>
      </c>
      <c r="AW103" s="113">
        <v>120</v>
      </c>
      <c r="AX103" s="113">
        <v>0</v>
      </c>
      <c r="AY103" s="113">
        <v>0</v>
      </c>
      <c r="AZ103" s="113">
        <v>0</v>
      </c>
      <c r="BA103" s="113">
        <v>0</v>
      </c>
      <c r="BB103" s="113">
        <v>0</v>
      </c>
      <c r="BC103" s="113">
        <v>0</v>
      </c>
      <c r="BD103" s="113">
        <v>0</v>
      </c>
      <c r="BE103" s="113">
        <v>0</v>
      </c>
      <c r="BF103" s="113">
        <v>0</v>
      </c>
      <c r="BG103" s="113">
        <v>0</v>
      </c>
      <c r="BH103" s="113">
        <v>680</v>
      </c>
      <c r="BI103" s="113">
        <v>225</v>
      </c>
      <c r="BJ103" s="113">
        <v>713</v>
      </c>
      <c r="BK103" s="113">
        <v>155</v>
      </c>
      <c r="BL103" s="113">
        <v>0</v>
      </c>
      <c r="BM103" s="113">
        <v>0</v>
      </c>
      <c r="BN103" s="113">
        <v>0</v>
      </c>
      <c r="BO103" s="113">
        <v>0</v>
      </c>
      <c r="BP103" s="113">
        <v>29</v>
      </c>
      <c r="BQ103" s="113">
        <v>3</v>
      </c>
      <c r="BR103" s="113">
        <v>113</v>
      </c>
      <c r="BS103" s="113">
        <v>50</v>
      </c>
      <c r="BT103" s="113">
        <v>34</v>
      </c>
      <c r="BU103" s="113">
        <v>24</v>
      </c>
      <c r="BV103" s="172">
        <v>66</v>
      </c>
      <c r="BW103" s="172">
        <v>6</v>
      </c>
      <c r="BX103" s="172">
        <v>394</v>
      </c>
      <c r="BY103" s="168">
        <v>75</v>
      </c>
      <c r="BZ103" s="181">
        <v>0</v>
      </c>
      <c r="CA103" s="181">
        <v>0</v>
      </c>
      <c r="CB103" s="181">
        <v>11</v>
      </c>
      <c r="CC103" s="181">
        <v>1</v>
      </c>
      <c r="CD103" s="181">
        <v>7</v>
      </c>
      <c r="CE103" s="181">
        <v>0</v>
      </c>
      <c r="CF103" s="181">
        <v>0</v>
      </c>
      <c r="CG103" s="181">
        <v>0</v>
      </c>
      <c r="CH103" s="181">
        <v>0</v>
      </c>
      <c r="CI103" s="181">
        <v>0</v>
      </c>
      <c r="CJ103" s="181">
        <v>6</v>
      </c>
      <c r="CK103" s="181">
        <v>4</v>
      </c>
      <c r="CL103" s="181">
        <v>6</v>
      </c>
      <c r="CM103" s="181">
        <v>2</v>
      </c>
      <c r="CN103" s="181">
        <v>0</v>
      </c>
      <c r="CO103" s="181">
        <v>0</v>
      </c>
      <c r="CP103" s="181">
        <v>11</v>
      </c>
      <c r="CQ103" s="181">
        <v>2</v>
      </c>
      <c r="CR103" s="181">
        <v>1</v>
      </c>
      <c r="CS103" s="181">
        <v>1</v>
      </c>
      <c r="CT103" s="181">
        <v>4</v>
      </c>
      <c r="CU103" s="181">
        <v>3</v>
      </c>
      <c r="CV103" s="181">
        <v>8</v>
      </c>
      <c r="CW103" s="181">
        <v>0</v>
      </c>
      <c r="CX103" s="181">
        <v>0</v>
      </c>
      <c r="CY103" s="181">
        <v>0</v>
      </c>
      <c r="CZ103" s="181">
        <v>0</v>
      </c>
      <c r="DA103" s="181">
        <v>0</v>
      </c>
      <c r="DB103" s="181">
        <v>0</v>
      </c>
      <c r="DC103" s="181">
        <v>0</v>
      </c>
      <c r="DD103" s="181">
        <v>0</v>
      </c>
      <c r="DE103" s="181">
        <v>0</v>
      </c>
      <c r="DF103" s="181">
        <v>0</v>
      </c>
      <c r="DG103" s="181">
        <v>0</v>
      </c>
      <c r="DH103" s="181">
        <v>12</v>
      </c>
      <c r="DI103" s="181">
        <v>5</v>
      </c>
      <c r="DJ103" s="181">
        <v>8</v>
      </c>
      <c r="DK103" s="181">
        <v>6</v>
      </c>
      <c r="DL103" s="181">
        <v>0</v>
      </c>
      <c r="DM103" s="181">
        <v>0</v>
      </c>
      <c r="DN103" s="181">
        <v>0</v>
      </c>
      <c r="DO103" s="181">
        <v>0</v>
      </c>
      <c r="DP103" s="181">
        <v>8</v>
      </c>
      <c r="DQ103" s="181">
        <v>2</v>
      </c>
      <c r="DR103" s="181">
        <v>9</v>
      </c>
      <c r="DS103" s="181">
        <v>6</v>
      </c>
      <c r="DT103" s="181">
        <v>3</v>
      </c>
      <c r="DU103" s="181">
        <v>1</v>
      </c>
      <c r="DV103" s="181">
        <v>1</v>
      </c>
      <c r="DW103" s="181">
        <v>0</v>
      </c>
      <c r="DX103" s="181">
        <v>7</v>
      </c>
      <c r="DY103" s="181">
        <v>5</v>
      </c>
    </row>
    <row r="104" spans="9:129" ht="13.5">
      <c r="I104" s="169"/>
      <c r="J104" s="169"/>
      <c r="K104" s="169"/>
      <c r="M104" s="187"/>
      <c r="N104" s="188"/>
      <c r="O104" s="171"/>
      <c r="Q104" s="171"/>
      <c r="R104" s="171"/>
      <c r="S104" s="171"/>
      <c r="U104" s="172" t="s">
        <v>35</v>
      </c>
      <c r="V104" s="172" t="s">
        <v>1545</v>
      </c>
      <c r="W104" s="172" t="s">
        <v>1491</v>
      </c>
      <c r="X104" s="172">
        <v>4</v>
      </c>
      <c r="Y104" s="172" t="s">
        <v>1596</v>
      </c>
      <c r="Z104" s="113">
        <v>0</v>
      </c>
      <c r="AA104" s="113">
        <v>0</v>
      </c>
      <c r="AB104" s="113">
        <v>15</v>
      </c>
      <c r="AC104" s="113">
        <v>2</v>
      </c>
      <c r="AD104" s="113">
        <v>0</v>
      </c>
      <c r="AE104" s="113">
        <v>0</v>
      </c>
      <c r="AF104" s="113">
        <v>0</v>
      </c>
      <c r="AG104" s="113">
        <v>0</v>
      </c>
      <c r="AH104" s="113">
        <v>0</v>
      </c>
      <c r="AI104" s="113">
        <v>0</v>
      </c>
      <c r="AJ104" s="113">
        <v>49</v>
      </c>
      <c r="AK104" s="113">
        <v>31</v>
      </c>
      <c r="AL104" s="113">
        <v>0</v>
      </c>
      <c r="AM104" s="113">
        <v>0</v>
      </c>
      <c r="AN104" s="113">
        <v>0</v>
      </c>
      <c r="AO104" s="113">
        <v>0</v>
      </c>
      <c r="AP104" s="113">
        <v>0</v>
      </c>
      <c r="AQ104" s="113">
        <v>0</v>
      </c>
      <c r="AR104" s="113">
        <v>0</v>
      </c>
      <c r="AS104" s="113">
        <v>0</v>
      </c>
      <c r="AT104" s="113">
        <v>0</v>
      </c>
      <c r="AU104" s="113">
        <v>0</v>
      </c>
      <c r="AV104" s="113">
        <v>58</v>
      </c>
      <c r="AW104" s="113">
        <v>23</v>
      </c>
      <c r="AX104" s="113">
        <v>56</v>
      </c>
      <c r="AY104" s="113">
        <v>16</v>
      </c>
      <c r="AZ104" s="113">
        <v>0</v>
      </c>
      <c r="BA104" s="113">
        <v>0</v>
      </c>
      <c r="BB104" s="113">
        <v>0</v>
      </c>
      <c r="BC104" s="113">
        <v>0</v>
      </c>
      <c r="BD104" s="113">
        <v>0</v>
      </c>
      <c r="BE104" s="113">
        <v>0</v>
      </c>
      <c r="BF104" s="113">
        <v>0</v>
      </c>
      <c r="BG104" s="113">
        <v>0</v>
      </c>
      <c r="BH104" s="113">
        <v>170</v>
      </c>
      <c r="BI104" s="113">
        <v>87</v>
      </c>
      <c r="BJ104" s="113">
        <v>106</v>
      </c>
      <c r="BK104" s="113">
        <v>53</v>
      </c>
      <c r="BL104" s="113">
        <v>0</v>
      </c>
      <c r="BM104" s="113">
        <v>0</v>
      </c>
      <c r="BN104" s="113">
        <v>0</v>
      </c>
      <c r="BO104" s="113">
        <v>0</v>
      </c>
      <c r="BP104" s="113">
        <v>0</v>
      </c>
      <c r="BQ104" s="113">
        <v>0</v>
      </c>
      <c r="BR104" s="113">
        <v>15</v>
      </c>
      <c r="BS104" s="113">
        <v>13</v>
      </c>
      <c r="BT104" s="113">
        <v>0</v>
      </c>
      <c r="BU104" s="113">
        <v>0</v>
      </c>
      <c r="BV104" s="179">
        <v>44</v>
      </c>
      <c r="BW104" s="179">
        <v>21</v>
      </c>
      <c r="BX104" s="179">
        <v>1</v>
      </c>
      <c r="BY104" s="179">
        <v>0</v>
      </c>
      <c r="BZ104" s="181">
        <v>0</v>
      </c>
      <c r="CA104" s="181">
        <v>0</v>
      </c>
      <c r="CB104" s="181">
        <v>10</v>
      </c>
      <c r="CC104" s="181">
        <v>10</v>
      </c>
      <c r="CD104" s="181">
        <v>0</v>
      </c>
      <c r="CE104" s="181">
        <v>0</v>
      </c>
      <c r="CF104" s="181">
        <v>0</v>
      </c>
      <c r="CG104" s="181">
        <v>0</v>
      </c>
      <c r="CH104" s="181">
        <v>0</v>
      </c>
      <c r="CI104" s="181">
        <v>0</v>
      </c>
      <c r="CJ104" s="181">
        <v>6</v>
      </c>
      <c r="CK104" s="181">
        <v>1</v>
      </c>
      <c r="CL104" s="181">
        <v>0</v>
      </c>
      <c r="CM104" s="181">
        <v>0</v>
      </c>
      <c r="CN104" s="181">
        <v>0</v>
      </c>
      <c r="CO104" s="181">
        <v>0</v>
      </c>
      <c r="CP104" s="181">
        <v>0</v>
      </c>
      <c r="CQ104" s="181">
        <v>0</v>
      </c>
      <c r="CR104" s="181">
        <v>0</v>
      </c>
      <c r="CS104" s="181">
        <v>0</v>
      </c>
      <c r="CT104" s="181">
        <v>0</v>
      </c>
      <c r="CU104" s="181">
        <v>0</v>
      </c>
      <c r="CV104" s="181">
        <v>10</v>
      </c>
      <c r="CW104" s="181">
        <v>5</v>
      </c>
      <c r="CX104" s="181">
        <v>2</v>
      </c>
      <c r="CY104" s="181">
        <v>1</v>
      </c>
      <c r="CZ104" s="181">
        <v>0</v>
      </c>
      <c r="DA104" s="181">
        <v>0</v>
      </c>
      <c r="DB104" s="181">
        <v>0</v>
      </c>
      <c r="DC104" s="181">
        <v>0</v>
      </c>
      <c r="DD104" s="181">
        <v>0</v>
      </c>
      <c r="DE104" s="181">
        <v>0</v>
      </c>
      <c r="DF104" s="181">
        <v>0</v>
      </c>
      <c r="DG104" s="181">
        <v>0</v>
      </c>
      <c r="DH104" s="181">
        <v>6</v>
      </c>
      <c r="DI104" s="181">
        <v>3</v>
      </c>
      <c r="DJ104" s="181">
        <v>2</v>
      </c>
      <c r="DK104" s="181">
        <v>2</v>
      </c>
      <c r="DL104" s="181">
        <v>0</v>
      </c>
      <c r="DM104" s="181">
        <v>0</v>
      </c>
      <c r="DN104" s="181">
        <v>0</v>
      </c>
      <c r="DO104" s="181">
        <v>0</v>
      </c>
      <c r="DP104" s="181">
        <v>0</v>
      </c>
      <c r="DQ104" s="181">
        <v>0</v>
      </c>
      <c r="DR104" s="181">
        <v>0</v>
      </c>
      <c r="DS104" s="181">
        <v>0</v>
      </c>
      <c r="DT104" s="181">
        <v>0</v>
      </c>
      <c r="DU104" s="181">
        <v>0</v>
      </c>
      <c r="DV104" s="181">
        <v>9</v>
      </c>
      <c r="DW104" s="181">
        <v>9</v>
      </c>
      <c r="DX104" s="181">
        <v>9</v>
      </c>
      <c r="DY104" s="181">
        <v>0</v>
      </c>
    </row>
    <row r="105" spans="9:129" ht="13.5">
      <c r="I105" s="169"/>
      <c r="J105" s="169"/>
      <c r="K105" s="169"/>
      <c r="M105" s="187"/>
      <c r="N105" s="188"/>
      <c r="O105" s="171"/>
      <c r="Q105" s="171"/>
      <c r="R105" s="171"/>
      <c r="S105" s="171"/>
      <c r="U105" s="171" t="s">
        <v>34</v>
      </c>
      <c r="V105" s="172" t="s">
        <v>1537</v>
      </c>
      <c r="W105" s="171" t="s">
        <v>1597</v>
      </c>
      <c r="X105" s="171">
        <v>1</v>
      </c>
      <c r="Y105" s="171" t="s">
        <v>1560</v>
      </c>
      <c r="Z105" s="179">
        <v>0</v>
      </c>
      <c r="AA105" s="179">
        <v>0</v>
      </c>
      <c r="AB105" s="179">
        <v>0</v>
      </c>
      <c r="AC105" s="179">
        <v>0</v>
      </c>
      <c r="AD105" s="179">
        <v>0</v>
      </c>
      <c r="AE105" s="179">
        <v>0</v>
      </c>
      <c r="AF105" s="179">
        <v>0</v>
      </c>
      <c r="AG105" s="179">
        <v>0</v>
      </c>
      <c r="AH105" s="179">
        <v>0</v>
      </c>
      <c r="AI105" s="179">
        <v>0</v>
      </c>
      <c r="AJ105" s="179">
        <v>0</v>
      </c>
      <c r="AK105" s="179">
        <v>0</v>
      </c>
      <c r="AL105" s="179">
        <v>0</v>
      </c>
      <c r="AM105" s="179">
        <v>0</v>
      </c>
      <c r="AN105" s="179">
        <v>0</v>
      </c>
      <c r="AO105" s="179">
        <v>0</v>
      </c>
      <c r="AP105" s="179">
        <v>0</v>
      </c>
      <c r="AQ105" s="179">
        <v>0</v>
      </c>
      <c r="AR105" s="179">
        <v>0</v>
      </c>
      <c r="AS105" s="179">
        <v>0</v>
      </c>
      <c r="AT105" s="179">
        <v>0</v>
      </c>
      <c r="AU105" s="179">
        <v>0</v>
      </c>
      <c r="AV105" s="179">
        <v>0</v>
      </c>
      <c r="AW105" s="179">
        <v>0</v>
      </c>
      <c r="AX105" s="179">
        <v>0</v>
      </c>
      <c r="AY105" s="179">
        <v>0</v>
      </c>
      <c r="AZ105" s="179">
        <v>0</v>
      </c>
      <c r="BA105" s="179">
        <v>0</v>
      </c>
      <c r="BB105" s="179">
        <v>0</v>
      </c>
      <c r="BC105" s="179">
        <v>0</v>
      </c>
      <c r="BD105" s="179">
        <v>0</v>
      </c>
      <c r="BE105" s="179">
        <v>0</v>
      </c>
      <c r="BF105" s="179">
        <v>0</v>
      </c>
      <c r="BG105" s="179">
        <v>0</v>
      </c>
      <c r="BH105" s="179">
        <v>0</v>
      </c>
      <c r="BI105" s="179">
        <v>0</v>
      </c>
      <c r="BJ105" s="179">
        <v>0</v>
      </c>
      <c r="BK105" s="179">
        <v>0</v>
      </c>
      <c r="BL105" s="179">
        <v>0</v>
      </c>
      <c r="BM105" s="179">
        <v>0</v>
      </c>
      <c r="BN105" s="179">
        <v>0</v>
      </c>
      <c r="BO105" s="179">
        <v>0</v>
      </c>
      <c r="BP105" s="179">
        <v>0</v>
      </c>
      <c r="BQ105" s="179">
        <v>0</v>
      </c>
      <c r="BR105" s="179">
        <v>0</v>
      </c>
      <c r="BS105" s="179">
        <v>0</v>
      </c>
      <c r="BT105" s="179">
        <v>0</v>
      </c>
      <c r="BU105" s="179">
        <v>0</v>
      </c>
      <c r="BV105" s="179">
        <v>0</v>
      </c>
      <c r="BW105" s="179">
        <v>0</v>
      </c>
      <c r="BX105" s="179">
        <v>0</v>
      </c>
      <c r="BY105" s="179">
        <v>0</v>
      </c>
      <c r="BZ105" s="179">
        <v>0</v>
      </c>
      <c r="CA105" s="179">
        <v>0</v>
      </c>
      <c r="CB105" s="179">
        <v>0</v>
      </c>
      <c r="CC105" s="179">
        <v>0</v>
      </c>
      <c r="CD105" s="179">
        <v>0</v>
      </c>
      <c r="CE105" s="179">
        <v>0</v>
      </c>
      <c r="CF105" s="179">
        <v>0</v>
      </c>
      <c r="CG105" s="179">
        <v>0</v>
      </c>
      <c r="CH105" s="179">
        <v>0</v>
      </c>
      <c r="CI105" s="179">
        <v>0</v>
      </c>
      <c r="CJ105" s="179">
        <v>0</v>
      </c>
      <c r="CK105" s="179">
        <v>0</v>
      </c>
      <c r="CL105" s="179">
        <v>0</v>
      </c>
      <c r="CM105" s="179">
        <v>0</v>
      </c>
      <c r="CN105" s="179">
        <v>0</v>
      </c>
      <c r="CO105" s="179">
        <v>0</v>
      </c>
      <c r="CP105" s="179">
        <v>0</v>
      </c>
      <c r="CQ105" s="179">
        <v>0</v>
      </c>
      <c r="CR105" s="179">
        <v>0</v>
      </c>
      <c r="CS105" s="179">
        <v>0</v>
      </c>
      <c r="CT105" s="179">
        <v>0</v>
      </c>
      <c r="CU105" s="179">
        <v>0</v>
      </c>
      <c r="CV105" s="179">
        <v>0</v>
      </c>
      <c r="CW105" s="179">
        <v>0</v>
      </c>
      <c r="CX105" s="179">
        <v>0</v>
      </c>
      <c r="CY105" s="179">
        <v>0</v>
      </c>
      <c r="CZ105" s="179">
        <v>0</v>
      </c>
      <c r="DA105" s="179">
        <v>0</v>
      </c>
      <c r="DB105" s="179">
        <v>0</v>
      </c>
      <c r="DC105" s="179">
        <v>0</v>
      </c>
      <c r="DD105" s="179">
        <v>0</v>
      </c>
      <c r="DE105" s="179">
        <v>0</v>
      </c>
      <c r="DF105" s="179">
        <v>0</v>
      </c>
      <c r="DG105" s="179">
        <v>0</v>
      </c>
      <c r="DH105" s="179">
        <v>0</v>
      </c>
      <c r="DI105" s="179">
        <v>0</v>
      </c>
      <c r="DJ105" s="179">
        <v>0</v>
      </c>
      <c r="DK105" s="179">
        <v>0</v>
      </c>
      <c r="DL105" s="179">
        <v>0</v>
      </c>
      <c r="DM105" s="179">
        <v>0</v>
      </c>
      <c r="DN105" s="179">
        <v>0</v>
      </c>
      <c r="DO105" s="179">
        <v>0</v>
      </c>
      <c r="DP105" s="179">
        <v>0</v>
      </c>
      <c r="DQ105" s="179">
        <v>0</v>
      </c>
      <c r="DR105" s="179">
        <v>0</v>
      </c>
      <c r="DS105" s="179">
        <v>0</v>
      </c>
      <c r="DT105" s="179">
        <v>0</v>
      </c>
      <c r="DU105" s="179">
        <v>0</v>
      </c>
      <c r="DV105" s="179">
        <v>0</v>
      </c>
      <c r="DW105" s="179">
        <v>0</v>
      </c>
      <c r="DX105" s="179">
        <v>0</v>
      </c>
      <c r="DY105" s="179">
        <v>0</v>
      </c>
    </row>
    <row r="106" spans="1:130" s="191" customFormat="1" ht="13.5">
      <c r="A106" s="187"/>
      <c r="B106" s="167"/>
      <c r="C106" s="167"/>
      <c r="D106" s="167"/>
      <c r="E106" s="167"/>
      <c r="F106" s="167"/>
      <c r="G106" s="167"/>
      <c r="H106" s="167"/>
      <c r="I106" s="169"/>
      <c r="J106" s="169"/>
      <c r="K106" s="169"/>
      <c r="L106" s="169"/>
      <c r="M106" s="187"/>
      <c r="N106" s="188"/>
      <c r="O106" s="171"/>
      <c r="P106" s="172"/>
      <c r="Q106" s="171"/>
      <c r="R106" s="171"/>
      <c r="S106" s="171"/>
      <c r="T106" s="18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79"/>
      <c r="DX106" s="179"/>
      <c r="DY106" s="190"/>
      <c r="DZ106" s="190"/>
    </row>
    <row r="107" spans="9:128" ht="13.5">
      <c r="I107" s="169"/>
      <c r="J107" s="169"/>
      <c r="K107" s="169"/>
      <c r="M107" s="187"/>
      <c r="N107" s="188"/>
      <c r="O107" s="171"/>
      <c r="Q107" s="171"/>
      <c r="R107" s="171"/>
      <c r="S107" s="171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  <c r="DU107" s="179"/>
      <c r="DV107" s="179"/>
      <c r="DW107" s="179"/>
      <c r="DX107" s="179"/>
    </row>
    <row r="108" spans="9:128" ht="13.5">
      <c r="I108" s="169"/>
      <c r="J108" s="169"/>
      <c r="K108" s="169"/>
      <c r="M108" s="187"/>
      <c r="N108" s="188"/>
      <c r="O108" s="171"/>
      <c r="Q108" s="171"/>
      <c r="R108" s="171"/>
      <c r="S108" s="171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</row>
    <row r="109" spans="2:128" ht="13.5">
      <c r="B109" s="187"/>
      <c r="C109" s="187"/>
      <c r="D109" s="187"/>
      <c r="E109" s="187"/>
      <c r="F109" s="187"/>
      <c r="G109" s="187"/>
      <c r="H109" s="187"/>
      <c r="I109" s="199"/>
      <c r="J109" s="199"/>
      <c r="K109" s="199"/>
      <c r="L109" s="199"/>
      <c r="M109" s="187"/>
      <c r="N109" s="188"/>
      <c r="O109" s="171"/>
      <c r="Q109" s="171"/>
      <c r="R109" s="171"/>
      <c r="S109" s="171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</row>
    <row r="110" spans="9:128" ht="13.5">
      <c r="I110" s="169"/>
      <c r="J110" s="169"/>
      <c r="K110" s="169"/>
      <c r="M110" s="187"/>
      <c r="N110" s="188"/>
      <c r="O110" s="171"/>
      <c r="Q110" s="171"/>
      <c r="R110" s="171"/>
      <c r="S110" s="171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</row>
    <row r="111" spans="9:128" ht="13.5">
      <c r="I111" s="169"/>
      <c r="J111" s="169"/>
      <c r="K111" s="169"/>
      <c r="M111" s="187"/>
      <c r="N111" s="188"/>
      <c r="O111" s="171"/>
      <c r="Q111" s="171"/>
      <c r="R111" s="171"/>
      <c r="S111" s="171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</row>
    <row r="112" spans="9:128" ht="13.5">
      <c r="I112" s="169"/>
      <c r="J112" s="169"/>
      <c r="K112" s="169"/>
      <c r="M112" s="187"/>
      <c r="N112" s="188"/>
      <c r="O112" s="171"/>
      <c r="Q112" s="171"/>
      <c r="R112" s="171"/>
      <c r="S112" s="173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79"/>
      <c r="DG112" s="179"/>
      <c r="DH112" s="179"/>
      <c r="DI112" s="179"/>
      <c r="DJ112" s="179"/>
      <c r="DK112" s="179"/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/>
    </row>
    <row r="113" spans="9:128" ht="13.5">
      <c r="I113" s="169"/>
      <c r="J113" s="169"/>
      <c r="K113" s="169"/>
      <c r="M113" s="187"/>
      <c r="N113" s="188"/>
      <c r="O113" s="171"/>
      <c r="Q113" s="171"/>
      <c r="R113" s="171"/>
      <c r="S113" s="173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</row>
    <row r="114" spans="9:128" ht="13.5">
      <c r="I114" s="169"/>
      <c r="J114" s="169"/>
      <c r="K114" s="169"/>
      <c r="M114" s="187"/>
      <c r="N114" s="188"/>
      <c r="O114" s="171"/>
      <c r="Q114" s="171"/>
      <c r="R114" s="171"/>
      <c r="S114" s="173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179"/>
      <c r="DX114" s="179"/>
    </row>
    <row r="115" spans="9:128" ht="13.5">
      <c r="I115" s="169"/>
      <c r="J115" s="169"/>
      <c r="K115" s="169"/>
      <c r="M115" s="187"/>
      <c r="N115" s="188"/>
      <c r="O115" s="171"/>
      <c r="Q115" s="171"/>
      <c r="R115" s="171"/>
      <c r="S115" s="173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79"/>
      <c r="DE115" s="179"/>
      <c r="DF115" s="179"/>
      <c r="DG115" s="179"/>
      <c r="DH115" s="179"/>
      <c r="DI115" s="179"/>
      <c r="DJ115" s="179"/>
      <c r="DK115" s="179"/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/>
    </row>
    <row r="116" spans="9:128" ht="13.5">
      <c r="I116" s="169"/>
      <c r="J116" s="169"/>
      <c r="K116" s="169"/>
      <c r="M116" s="187"/>
      <c r="N116" s="188"/>
      <c r="O116" s="171"/>
      <c r="Q116" s="171"/>
      <c r="R116" s="171"/>
      <c r="S116" s="173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  <c r="CH116" s="179"/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9"/>
      <c r="CZ116" s="179"/>
      <c r="DA116" s="179"/>
      <c r="DB116" s="179"/>
      <c r="DC116" s="179"/>
      <c r="DD116" s="179"/>
      <c r="DE116" s="179"/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179"/>
      <c r="DX116" s="179"/>
    </row>
    <row r="117" spans="1:130" s="191" customFormat="1" ht="13.5">
      <c r="A117" s="187"/>
      <c r="B117" s="167"/>
      <c r="C117" s="167"/>
      <c r="D117" s="167"/>
      <c r="E117" s="167"/>
      <c r="F117" s="167"/>
      <c r="G117" s="167"/>
      <c r="H117" s="167"/>
      <c r="I117" s="169"/>
      <c r="J117" s="169"/>
      <c r="K117" s="169"/>
      <c r="L117" s="169"/>
      <c r="M117" s="187"/>
      <c r="N117" s="188"/>
      <c r="O117" s="171"/>
      <c r="P117" s="172"/>
      <c r="Q117" s="171"/>
      <c r="R117" s="171"/>
      <c r="S117" s="173"/>
      <c r="T117" s="18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9"/>
      <c r="CZ117" s="179"/>
      <c r="DA117" s="179"/>
      <c r="DB117" s="179"/>
      <c r="DC117" s="179"/>
      <c r="DD117" s="179"/>
      <c r="DE117" s="179"/>
      <c r="DF117" s="179"/>
      <c r="DG117" s="179"/>
      <c r="DH117" s="179"/>
      <c r="DI117" s="179"/>
      <c r="DJ117" s="179"/>
      <c r="DK117" s="179"/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/>
      <c r="DY117" s="190"/>
      <c r="DZ117" s="190"/>
    </row>
    <row r="118" spans="9:128" ht="13.5">
      <c r="I118" s="169"/>
      <c r="J118" s="169"/>
      <c r="K118" s="169"/>
      <c r="M118" s="187"/>
      <c r="N118" s="188"/>
      <c r="O118" s="171"/>
      <c r="Q118" s="171"/>
      <c r="R118" s="171"/>
      <c r="S118" s="173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</row>
    <row r="119" spans="9:128" ht="13.5">
      <c r="I119" s="169"/>
      <c r="J119" s="169"/>
      <c r="K119" s="169"/>
      <c r="M119" s="187"/>
      <c r="N119" s="188"/>
      <c r="O119" s="171"/>
      <c r="Q119" s="171"/>
      <c r="R119" s="171"/>
      <c r="S119" s="173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</row>
    <row r="120" spans="2:128" ht="13.5">
      <c r="B120" s="187"/>
      <c r="C120" s="187"/>
      <c r="D120" s="187"/>
      <c r="E120" s="187"/>
      <c r="F120" s="187"/>
      <c r="G120" s="187"/>
      <c r="H120" s="187"/>
      <c r="I120" s="199"/>
      <c r="J120" s="199"/>
      <c r="K120" s="199"/>
      <c r="L120" s="199"/>
      <c r="M120" s="187"/>
      <c r="N120" s="188"/>
      <c r="O120" s="171"/>
      <c r="Q120" s="171"/>
      <c r="R120" s="171"/>
      <c r="S120" s="173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79"/>
      <c r="DE120" s="179"/>
      <c r="DF120" s="179"/>
      <c r="DG120" s="179"/>
      <c r="DH120" s="179"/>
      <c r="DI120" s="179"/>
      <c r="DJ120" s="179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</row>
    <row r="121" spans="9:128" ht="13.5">
      <c r="I121" s="169"/>
      <c r="J121" s="169"/>
      <c r="K121" s="169"/>
      <c r="M121" s="187"/>
      <c r="N121" s="188"/>
      <c r="O121" s="171"/>
      <c r="Q121" s="171"/>
      <c r="R121" s="171"/>
      <c r="S121" s="173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179"/>
      <c r="DG121" s="179"/>
      <c r="DH121" s="179"/>
      <c r="DI121" s="179"/>
      <c r="DJ121" s="179"/>
      <c r="DK121" s="179"/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/>
    </row>
    <row r="122" spans="1:130" s="191" customFormat="1" ht="13.5">
      <c r="A122" s="187"/>
      <c r="B122" s="167"/>
      <c r="C122" s="167"/>
      <c r="D122" s="167"/>
      <c r="E122" s="167"/>
      <c r="F122" s="167"/>
      <c r="G122" s="167"/>
      <c r="H122" s="167"/>
      <c r="I122" s="169"/>
      <c r="J122" s="169"/>
      <c r="K122" s="169"/>
      <c r="L122" s="169"/>
      <c r="M122" s="187"/>
      <c r="N122" s="188"/>
      <c r="O122" s="171"/>
      <c r="P122" s="172"/>
      <c r="Q122" s="171"/>
      <c r="R122" s="171"/>
      <c r="S122" s="173"/>
      <c r="T122" s="18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90"/>
      <c r="DZ122" s="190"/>
    </row>
    <row r="123" spans="9:128" ht="13.5">
      <c r="I123" s="169"/>
      <c r="J123" s="169"/>
      <c r="K123" s="169"/>
      <c r="M123" s="187"/>
      <c r="N123" s="188"/>
      <c r="O123" s="171"/>
      <c r="Q123" s="171"/>
      <c r="R123" s="171"/>
      <c r="S123" s="173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79"/>
      <c r="DE123" s="179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/>
    </row>
    <row r="124" spans="9:128" ht="13.5">
      <c r="I124" s="169"/>
      <c r="J124" s="169"/>
      <c r="K124" s="169"/>
      <c r="M124" s="187"/>
      <c r="N124" s="188"/>
      <c r="O124" s="171"/>
      <c r="Q124" s="171"/>
      <c r="R124" s="171"/>
      <c r="S124" s="173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  <c r="CH124" s="179"/>
      <c r="CI124" s="179"/>
      <c r="CJ124" s="179"/>
      <c r="CK124" s="179"/>
      <c r="CL124" s="179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79"/>
      <c r="DE124" s="179"/>
      <c r="DF124" s="179"/>
      <c r="DG124" s="179"/>
      <c r="DH124" s="179"/>
      <c r="DI124" s="179"/>
      <c r="DJ124" s="179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</row>
    <row r="125" spans="2:128" ht="13.5">
      <c r="B125" s="187"/>
      <c r="C125" s="187"/>
      <c r="D125" s="187"/>
      <c r="E125" s="187"/>
      <c r="F125" s="187"/>
      <c r="G125" s="187"/>
      <c r="H125" s="187"/>
      <c r="I125" s="199"/>
      <c r="J125" s="199"/>
      <c r="K125" s="199"/>
      <c r="L125" s="199"/>
      <c r="M125" s="187"/>
      <c r="N125" s="188"/>
      <c r="O125" s="171"/>
      <c r="Q125" s="171"/>
      <c r="R125" s="171"/>
      <c r="S125" s="173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</row>
    <row r="126" spans="9:128" ht="13.5">
      <c r="I126" s="169"/>
      <c r="J126" s="169"/>
      <c r="K126" s="169"/>
      <c r="M126" s="187"/>
      <c r="N126" s="188"/>
      <c r="O126" s="171"/>
      <c r="Q126" s="171"/>
      <c r="R126" s="171"/>
      <c r="S126" s="173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</row>
    <row r="127" spans="9:128" ht="13.5">
      <c r="I127" s="169"/>
      <c r="J127" s="169"/>
      <c r="K127" s="169"/>
      <c r="M127" s="187"/>
      <c r="N127" s="188"/>
      <c r="O127" s="171"/>
      <c r="Q127" s="171"/>
      <c r="R127" s="171"/>
      <c r="S127" s="173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</row>
    <row r="128" spans="9:128" ht="13.5">
      <c r="I128" s="169"/>
      <c r="J128" s="169"/>
      <c r="K128" s="169"/>
      <c r="M128" s="187"/>
      <c r="N128" s="188"/>
      <c r="O128" s="171"/>
      <c r="Q128" s="171"/>
      <c r="R128" s="171"/>
      <c r="S128" s="173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</row>
    <row r="129" spans="9:128" ht="13.5">
      <c r="I129" s="169"/>
      <c r="J129" s="169"/>
      <c r="K129" s="169"/>
      <c r="M129" s="187"/>
      <c r="N129" s="188"/>
      <c r="O129" s="171"/>
      <c r="Q129" s="171"/>
      <c r="R129" s="171"/>
      <c r="S129" s="173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</row>
    <row r="130" spans="9:128" ht="13.5">
      <c r="I130" s="169"/>
      <c r="J130" s="169"/>
      <c r="K130" s="169"/>
      <c r="M130" s="187"/>
      <c r="N130" s="188"/>
      <c r="O130" s="171"/>
      <c r="Q130" s="171"/>
      <c r="R130" s="171"/>
      <c r="S130" s="173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</row>
    <row r="131" spans="9:128" ht="13.5">
      <c r="I131" s="169"/>
      <c r="J131" s="169"/>
      <c r="K131" s="169"/>
      <c r="M131" s="187"/>
      <c r="N131" s="188"/>
      <c r="O131" s="171"/>
      <c r="Q131" s="171"/>
      <c r="R131" s="171"/>
      <c r="S131" s="173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</row>
    <row r="132" spans="9:128" ht="13.5">
      <c r="I132" s="169"/>
      <c r="J132" s="169"/>
      <c r="K132" s="169"/>
      <c r="M132" s="187"/>
      <c r="N132" s="188"/>
      <c r="O132" s="171"/>
      <c r="Q132" s="171"/>
      <c r="R132" s="171"/>
      <c r="S132" s="173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9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79"/>
      <c r="CG132" s="179"/>
      <c r="CH132" s="179"/>
      <c r="CI132" s="179"/>
      <c r="CJ132" s="179"/>
      <c r="CK132" s="179"/>
      <c r="CL132" s="179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79"/>
      <c r="DE132" s="179"/>
      <c r="DF132" s="179"/>
      <c r="DG132" s="179"/>
      <c r="DH132" s="179"/>
      <c r="DI132" s="179"/>
      <c r="DJ132" s="179"/>
      <c r="DK132" s="179"/>
      <c r="DL132" s="179"/>
      <c r="DM132" s="179"/>
      <c r="DN132" s="179"/>
      <c r="DO132" s="179"/>
      <c r="DP132" s="179"/>
      <c r="DQ132" s="179"/>
      <c r="DR132" s="179"/>
      <c r="DS132" s="179"/>
      <c r="DT132" s="179"/>
      <c r="DU132" s="179"/>
      <c r="DV132" s="179"/>
      <c r="DW132" s="179"/>
      <c r="DX132" s="179"/>
    </row>
    <row r="133" spans="9:128" ht="13.5">
      <c r="I133" s="169"/>
      <c r="J133" s="169"/>
      <c r="K133" s="169"/>
      <c r="M133" s="187"/>
      <c r="N133" s="188"/>
      <c r="O133" s="171"/>
      <c r="Q133" s="171"/>
      <c r="R133" s="171"/>
      <c r="S133" s="173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179"/>
      <c r="DK133" s="179"/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/>
    </row>
    <row r="134" spans="1:130" s="191" customFormat="1" ht="13.5">
      <c r="A134" s="187"/>
      <c r="B134" s="167"/>
      <c r="C134" s="167"/>
      <c r="D134" s="167"/>
      <c r="E134" s="167"/>
      <c r="F134" s="167"/>
      <c r="G134" s="167"/>
      <c r="H134" s="167"/>
      <c r="I134" s="169"/>
      <c r="J134" s="169"/>
      <c r="K134" s="169"/>
      <c r="L134" s="169"/>
      <c r="M134" s="187"/>
      <c r="N134" s="188"/>
      <c r="O134" s="171"/>
      <c r="P134" s="172"/>
      <c r="Q134" s="171"/>
      <c r="R134" s="171"/>
      <c r="S134" s="173"/>
      <c r="T134" s="18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9"/>
      <c r="BW134" s="179"/>
      <c r="BX134" s="179"/>
      <c r="BY134" s="179"/>
      <c r="BZ134" s="179"/>
      <c r="CA134" s="179"/>
      <c r="CB134" s="179"/>
      <c r="CC134" s="179"/>
      <c r="CD134" s="179"/>
      <c r="CE134" s="179"/>
      <c r="CF134" s="179"/>
      <c r="CG134" s="179"/>
      <c r="CH134" s="179"/>
      <c r="CI134" s="179"/>
      <c r="CJ134" s="179"/>
      <c r="CK134" s="179"/>
      <c r="CL134" s="179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79"/>
      <c r="DA134" s="179"/>
      <c r="DB134" s="179"/>
      <c r="DC134" s="179"/>
      <c r="DD134" s="179"/>
      <c r="DE134" s="179"/>
      <c r="DF134" s="179"/>
      <c r="DG134" s="179"/>
      <c r="DH134" s="179"/>
      <c r="DI134" s="179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90"/>
      <c r="DZ134" s="190"/>
    </row>
    <row r="135" spans="9:128" ht="13.5">
      <c r="I135" s="169"/>
      <c r="J135" s="169"/>
      <c r="K135" s="169"/>
      <c r="M135" s="187"/>
      <c r="N135" s="188"/>
      <c r="O135" s="171"/>
      <c r="Q135" s="171"/>
      <c r="R135" s="171"/>
      <c r="S135" s="173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79"/>
      <c r="BW135" s="179"/>
      <c r="BX135" s="179"/>
      <c r="BY135" s="179"/>
      <c r="BZ135" s="179"/>
      <c r="CA135" s="179"/>
      <c r="CB135" s="179"/>
      <c r="CC135" s="179"/>
      <c r="CD135" s="179"/>
      <c r="CE135" s="179"/>
      <c r="CF135" s="179"/>
      <c r="CG135" s="179"/>
      <c r="CH135" s="179"/>
      <c r="CI135" s="179"/>
      <c r="CJ135" s="179"/>
      <c r="CK135" s="179"/>
      <c r="CL135" s="179"/>
      <c r="CM135" s="179"/>
      <c r="CN135" s="179"/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9"/>
      <c r="CZ135" s="179"/>
      <c r="DA135" s="179"/>
      <c r="DB135" s="179"/>
      <c r="DC135" s="179"/>
      <c r="DD135" s="179"/>
      <c r="DE135" s="179"/>
      <c r="DF135" s="179"/>
      <c r="DG135" s="179"/>
      <c r="DH135" s="179"/>
      <c r="DI135" s="179"/>
      <c r="DJ135" s="179"/>
      <c r="DK135" s="179"/>
      <c r="DL135" s="179"/>
      <c r="DM135" s="179"/>
      <c r="DN135" s="179"/>
      <c r="DO135" s="179"/>
      <c r="DP135" s="179"/>
      <c r="DQ135" s="179"/>
      <c r="DR135" s="179"/>
      <c r="DS135" s="179"/>
      <c r="DT135" s="179"/>
      <c r="DU135" s="179"/>
      <c r="DV135" s="179"/>
      <c r="DW135" s="179"/>
      <c r="DX135" s="179"/>
    </row>
    <row r="136" spans="9:128" ht="13.5">
      <c r="I136" s="169"/>
      <c r="J136" s="169"/>
      <c r="K136" s="169"/>
      <c r="M136" s="187"/>
      <c r="N136" s="188"/>
      <c r="O136" s="171"/>
      <c r="Q136" s="171"/>
      <c r="R136" s="171"/>
      <c r="S136" s="173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  <c r="BS136" s="179"/>
      <c r="BT136" s="179"/>
      <c r="BU136" s="179"/>
      <c r="BV136" s="179"/>
      <c r="BW136" s="179"/>
      <c r="BX136" s="179"/>
      <c r="BY136" s="179"/>
      <c r="BZ136" s="179"/>
      <c r="CA136" s="179"/>
      <c r="CB136" s="179"/>
      <c r="CC136" s="179"/>
      <c r="CD136" s="179"/>
      <c r="CE136" s="179"/>
      <c r="CF136" s="179"/>
      <c r="CG136" s="179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F136" s="179"/>
      <c r="DG136" s="179"/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</row>
    <row r="137" spans="2:128" ht="13.5">
      <c r="B137" s="187"/>
      <c r="C137" s="187"/>
      <c r="D137" s="187"/>
      <c r="E137" s="187"/>
      <c r="F137" s="187"/>
      <c r="G137" s="187"/>
      <c r="H137" s="187"/>
      <c r="I137" s="199"/>
      <c r="J137" s="199"/>
      <c r="K137" s="199"/>
      <c r="L137" s="199"/>
      <c r="M137" s="187"/>
      <c r="N137" s="188"/>
      <c r="O137" s="171"/>
      <c r="Q137" s="171"/>
      <c r="R137" s="171"/>
      <c r="S137" s="173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  <c r="BS137" s="179"/>
      <c r="BT137" s="179"/>
      <c r="BU137" s="179"/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79"/>
      <c r="DF137" s="179"/>
      <c r="DG137" s="179"/>
      <c r="DH137" s="179"/>
      <c r="DI137" s="179"/>
      <c r="DJ137" s="179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</row>
    <row r="138" spans="9:128" ht="13.5">
      <c r="I138" s="169"/>
      <c r="J138" s="169"/>
      <c r="K138" s="169"/>
      <c r="M138" s="187"/>
      <c r="N138" s="188"/>
      <c r="O138" s="171"/>
      <c r="Q138" s="171"/>
      <c r="R138" s="171"/>
      <c r="S138" s="173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  <c r="DE138" s="179"/>
      <c r="DF138" s="179"/>
      <c r="DG138" s="179"/>
      <c r="DH138" s="179"/>
      <c r="DI138" s="179"/>
      <c r="DJ138" s="179"/>
      <c r="DK138" s="179"/>
      <c r="DL138" s="179"/>
      <c r="DM138" s="179"/>
      <c r="DN138" s="179"/>
      <c r="DO138" s="179"/>
      <c r="DP138" s="179"/>
      <c r="DQ138" s="179"/>
      <c r="DR138" s="179"/>
      <c r="DS138" s="179"/>
      <c r="DT138" s="179"/>
      <c r="DU138" s="179"/>
      <c r="DV138" s="179"/>
      <c r="DW138" s="179"/>
      <c r="DX138" s="179"/>
    </row>
    <row r="139" spans="9:128" ht="13.5">
      <c r="I139" s="169"/>
      <c r="J139" s="169"/>
      <c r="K139" s="169"/>
      <c r="M139" s="187"/>
      <c r="N139" s="188"/>
      <c r="O139" s="171"/>
      <c r="Q139" s="171"/>
      <c r="R139" s="171"/>
      <c r="S139" s="173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79"/>
      <c r="DF139" s="179"/>
      <c r="DG139" s="179"/>
      <c r="DH139" s="179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</row>
    <row r="140" spans="9:128" ht="13.5">
      <c r="I140" s="169"/>
      <c r="J140" s="169"/>
      <c r="K140" s="169"/>
      <c r="M140" s="187"/>
      <c r="N140" s="188"/>
      <c r="O140" s="171"/>
      <c r="Q140" s="171"/>
      <c r="R140" s="171"/>
      <c r="S140" s="173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BZ140" s="179"/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79"/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</row>
    <row r="141" spans="9:128" ht="13.5">
      <c r="I141" s="169"/>
      <c r="J141" s="169"/>
      <c r="K141" s="169"/>
      <c r="M141" s="187"/>
      <c r="N141" s="188"/>
      <c r="O141" s="171"/>
      <c r="Q141" s="171"/>
      <c r="R141" s="171"/>
      <c r="S141" s="173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79"/>
      <c r="BZ141" s="179"/>
      <c r="CA141" s="179"/>
      <c r="CB141" s="179"/>
      <c r="CC141" s="179"/>
      <c r="CD141" s="179"/>
      <c r="CE141" s="179"/>
      <c r="CF141" s="179"/>
      <c r="CG141" s="179"/>
      <c r="CH141" s="179"/>
      <c r="CI141" s="179"/>
      <c r="CJ141" s="179"/>
      <c r="CK141" s="179"/>
      <c r="CL141" s="179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9"/>
      <c r="CZ141" s="179"/>
      <c r="DA141" s="179"/>
      <c r="DB141" s="179"/>
      <c r="DC141" s="179"/>
      <c r="DD141" s="179"/>
      <c r="DE141" s="179"/>
      <c r="DF141" s="179"/>
      <c r="DG141" s="179"/>
      <c r="DH141" s="179"/>
      <c r="DI141" s="179"/>
      <c r="DJ141" s="179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</row>
    <row r="142" spans="1:130" s="191" customFormat="1" ht="13.5">
      <c r="A142" s="187"/>
      <c r="B142" s="167"/>
      <c r="C142" s="167"/>
      <c r="D142" s="167"/>
      <c r="E142" s="167"/>
      <c r="F142" s="167"/>
      <c r="G142" s="167"/>
      <c r="H142" s="167"/>
      <c r="I142" s="169"/>
      <c r="J142" s="169"/>
      <c r="K142" s="169"/>
      <c r="L142" s="169"/>
      <c r="M142" s="187"/>
      <c r="N142" s="188"/>
      <c r="O142" s="171"/>
      <c r="P142" s="172"/>
      <c r="Q142" s="171"/>
      <c r="R142" s="171"/>
      <c r="S142" s="173"/>
      <c r="T142" s="18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79"/>
      <c r="BZ142" s="179"/>
      <c r="CA142" s="179"/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190"/>
      <c r="DZ142" s="190"/>
    </row>
    <row r="143" spans="9:128" ht="13.5">
      <c r="I143" s="169"/>
      <c r="J143" s="169"/>
      <c r="K143" s="169"/>
      <c r="M143" s="187"/>
      <c r="N143" s="188"/>
      <c r="O143" s="171"/>
      <c r="Q143" s="171"/>
      <c r="R143" s="171"/>
      <c r="S143" s="173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</row>
    <row r="144" spans="9:128" ht="13.5">
      <c r="I144" s="169"/>
      <c r="J144" s="169"/>
      <c r="K144" s="169"/>
      <c r="M144" s="187"/>
      <c r="N144" s="188"/>
      <c r="O144" s="171"/>
      <c r="Q144" s="171"/>
      <c r="R144" s="171"/>
      <c r="S144" s="173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</row>
    <row r="145" spans="2:128" ht="13.5">
      <c r="B145" s="187"/>
      <c r="C145" s="187"/>
      <c r="D145" s="187"/>
      <c r="E145" s="187"/>
      <c r="F145" s="187"/>
      <c r="G145" s="187"/>
      <c r="H145" s="187"/>
      <c r="I145" s="199"/>
      <c r="J145" s="199"/>
      <c r="K145" s="199"/>
      <c r="L145" s="199"/>
      <c r="M145" s="187"/>
      <c r="N145" s="188"/>
      <c r="O145" s="171"/>
      <c r="Q145" s="171"/>
      <c r="R145" s="171"/>
      <c r="S145" s="173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</row>
    <row r="146" spans="9:128" ht="13.5">
      <c r="I146" s="169"/>
      <c r="J146" s="169"/>
      <c r="K146" s="169"/>
      <c r="M146" s="187"/>
      <c r="N146" s="188"/>
      <c r="O146" s="171"/>
      <c r="Q146" s="171"/>
      <c r="R146" s="171"/>
      <c r="S146" s="173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</row>
    <row r="147" spans="9:128" ht="13.5">
      <c r="I147" s="169"/>
      <c r="J147" s="169"/>
      <c r="K147" s="169"/>
      <c r="M147" s="187"/>
      <c r="N147" s="188"/>
      <c r="O147" s="171"/>
      <c r="Q147" s="171"/>
      <c r="R147" s="171"/>
      <c r="S147" s="173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</row>
    <row r="148" spans="9:128" ht="13.5">
      <c r="I148" s="169"/>
      <c r="J148" s="169"/>
      <c r="K148" s="169"/>
      <c r="M148" s="187"/>
      <c r="N148" s="188"/>
      <c r="O148" s="171"/>
      <c r="Q148" s="171"/>
      <c r="R148" s="171"/>
      <c r="S148" s="173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</row>
    <row r="149" spans="9:128" ht="13.5">
      <c r="I149" s="169"/>
      <c r="J149" s="169"/>
      <c r="K149" s="169"/>
      <c r="M149" s="187"/>
      <c r="N149" s="188"/>
      <c r="O149" s="171"/>
      <c r="Q149" s="171"/>
      <c r="R149" s="171"/>
      <c r="S149" s="173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</row>
    <row r="150" spans="9:128" ht="13.5">
      <c r="I150" s="169"/>
      <c r="J150" s="169"/>
      <c r="K150" s="169"/>
      <c r="M150" s="187"/>
      <c r="N150" s="188"/>
      <c r="O150" s="171"/>
      <c r="Q150" s="171"/>
      <c r="R150" s="171"/>
      <c r="S150" s="173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</row>
    <row r="151" spans="9:128" ht="13.5">
      <c r="I151" s="169"/>
      <c r="J151" s="169"/>
      <c r="K151" s="169"/>
      <c r="M151" s="187"/>
      <c r="N151" s="188"/>
      <c r="O151" s="171"/>
      <c r="Q151" s="171"/>
      <c r="R151" s="171"/>
      <c r="S151" s="173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</row>
    <row r="152" spans="9:128" ht="13.5">
      <c r="I152" s="169"/>
      <c r="J152" s="169"/>
      <c r="K152" s="169"/>
      <c r="M152" s="187"/>
      <c r="N152" s="188"/>
      <c r="O152" s="171"/>
      <c r="Q152" s="171"/>
      <c r="R152" s="171"/>
      <c r="S152" s="173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</row>
    <row r="153" spans="1:130" s="191" customFormat="1" ht="13.5">
      <c r="A153" s="187"/>
      <c r="B153" s="167"/>
      <c r="C153" s="167"/>
      <c r="D153" s="167"/>
      <c r="E153" s="167"/>
      <c r="F153" s="167"/>
      <c r="G153" s="167"/>
      <c r="H153" s="167"/>
      <c r="I153" s="169"/>
      <c r="J153" s="169"/>
      <c r="K153" s="169"/>
      <c r="L153" s="169"/>
      <c r="M153" s="187"/>
      <c r="N153" s="188"/>
      <c r="O153" s="171"/>
      <c r="P153" s="172"/>
      <c r="Q153" s="171"/>
      <c r="R153" s="171"/>
      <c r="S153" s="173"/>
      <c r="T153" s="18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90"/>
      <c r="DZ153" s="190"/>
    </row>
    <row r="154" spans="9:128" ht="13.5">
      <c r="I154" s="169"/>
      <c r="J154" s="169"/>
      <c r="K154" s="169"/>
      <c r="M154" s="187"/>
      <c r="N154" s="188"/>
      <c r="O154" s="171"/>
      <c r="Q154" s="171"/>
      <c r="R154" s="171"/>
      <c r="S154" s="173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</row>
    <row r="155" spans="9:128" ht="13.5">
      <c r="I155" s="169"/>
      <c r="J155" s="169"/>
      <c r="K155" s="169"/>
      <c r="M155" s="187"/>
      <c r="N155" s="188"/>
      <c r="O155" s="171"/>
      <c r="Q155" s="171"/>
      <c r="R155" s="171"/>
      <c r="S155" s="173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</row>
    <row r="156" spans="2:128" ht="13.5">
      <c r="B156" s="187"/>
      <c r="C156" s="187"/>
      <c r="D156" s="187"/>
      <c r="E156" s="187"/>
      <c r="F156" s="187"/>
      <c r="G156" s="187"/>
      <c r="H156" s="187"/>
      <c r="I156" s="199"/>
      <c r="J156" s="199"/>
      <c r="K156" s="199"/>
      <c r="L156" s="199"/>
      <c r="M156" s="187"/>
      <c r="N156" s="188"/>
      <c r="O156" s="171"/>
      <c r="Q156" s="171"/>
      <c r="R156" s="171"/>
      <c r="S156" s="173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</row>
    <row r="157" spans="9:128" ht="13.5">
      <c r="I157" s="169"/>
      <c r="J157" s="169"/>
      <c r="K157" s="169"/>
      <c r="M157" s="187"/>
      <c r="N157" s="188"/>
      <c r="O157" s="171"/>
      <c r="Q157" s="171"/>
      <c r="R157" s="171"/>
      <c r="S157" s="173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</row>
    <row r="158" spans="9:128" ht="13.5">
      <c r="I158" s="169"/>
      <c r="J158" s="169"/>
      <c r="K158" s="169"/>
      <c r="M158" s="187"/>
      <c r="N158" s="188"/>
      <c r="O158" s="171"/>
      <c r="Q158" s="171"/>
      <c r="R158" s="171"/>
      <c r="S158" s="173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</row>
    <row r="159" spans="9:128" ht="13.5">
      <c r="I159" s="169"/>
      <c r="J159" s="169"/>
      <c r="K159" s="169"/>
      <c r="M159" s="187"/>
      <c r="N159" s="188"/>
      <c r="O159" s="171"/>
      <c r="Q159" s="171"/>
      <c r="R159" s="171"/>
      <c r="S159" s="173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</row>
    <row r="160" spans="9:128" ht="13.5">
      <c r="I160" s="169"/>
      <c r="J160" s="169"/>
      <c r="K160" s="169"/>
      <c r="M160" s="187"/>
      <c r="N160" s="188"/>
      <c r="O160" s="171"/>
      <c r="Q160" s="171"/>
      <c r="R160" s="171"/>
      <c r="S160" s="173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</row>
    <row r="161" spans="9:128" ht="13.5">
      <c r="I161" s="169"/>
      <c r="J161" s="169"/>
      <c r="K161" s="169"/>
      <c r="M161" s="187"/>
      <c r="N161" s="188"/>
      <c r="O161" s="171"/>
      <c r="Q161" s="171"/>
      <c r="R161" s="171"/>
      <c r="S161" s="173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</row>
    <row r="162" spans="9:128" ht="13.5">
      <c r="I162" s="169"/>
      <c r="J162" s="169"/>
      <c r="K162" s="169"/>
      <c r="M162" s="187"/>
      <c r="N162" s="188"/>
      <c r="O162" s="171"/>
      <c r="Q162" s="171"/>
      <c r="R162" s="171"/>
      <c r="S162" s="173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</row>
    <row r="163" spans="9:128" ht="13.5">
      <c r="I163" s="169"/>
      <c r="J163" s="169"/>
      <c r="K163" s="169"/>
      <c r="M163" s="187"/>
      <c r="N163" s="188"/>
      <c r="O163" s="171"/>
      <c r="Q163" s="171"/>
      <c r="R163" s="171"/>
      <c r="S163" s="173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</row>
    <row r="164" spans="9:128" ht="13.5">
      <c r="I164" s="169"/>
      <c r="J164" s="169"/>
      <c r="K164" s="169"/>
      <c r="M164" s="187"/>
      <c r="N164" s="188"/>
      <c r="O164" s="171"/>
      <c r="Q164" s="171"/>
      <c r="R164" s="171"/>
      <c r="S164" s="173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79"/>
      <c r="CI164" s="179"/>
      <c r="CJ164" s="179"/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</row>
    <row r="165" spans="1:130" s="191" customFormat="1" ht="13.5">
      <c r="A165" s="187"/>
      <c r="B165" s="167"/>
      <c r="C165" s="167"/>
      <c r="D165" s="167"/>
      <c r="E165" s="167"/>
      <c r="F165" s="167"/>
      <c r="G165" s="167"/>
      <c r="H165" s="167"/>
      <c r="I165" s="169"/>
      <c r="J165" s="169"/>
      <c r="K165" s="169"/>
      <c r="L165" s="169"/>
      <c r="M165" s="187"/>
      <c r="N165" s="188"/>
      <c r="O165" s="171"/>
      <c r="P165" s="172"/>
      <c r="Q165" s="171"/>
      <c r="R165" s="171"/>
      <c r="S165" s="173"/>
      <c r="T165" s="18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79"/>
      <c r="CI165" s="179"/>
      <c r="CJ165" s="179"/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90"/>
      <c r="DZ165" s="190"/>
    </row>
    <row r="166" spans="9:128" ht="13.5">
      <c r="I166" s="169"/>
      <c r="J166" s="169"/>
      <c r="K166" s="169"/>
      <c r="M166" s="187"/>
      <c r="N166" s="188"/>
      <c r="O166" s="171"/>
      <c r="Q166" s="171"/>
      <c r="R166" s="171"/>
      <c r="S166" s="173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79"/>
      <c r="CH166" s="179"/>
      <c r="CI166" s="179"/>
      <c r="CJ166" s="179"/>
      <c r="CK166" s="179"/>
      <c r="CL166" s="179"/>
      <c r="CM166" s="179"/>
      <c r="CN166" s="179"/>
      <c r="CO166" s="179"/>
      <c r="CP166" s="179"/>
      <c r="CQ166" s="179"/>
      <c r="CR166" s="179"/>
      <c r="CS166" s="179"/>
      <c r="CT166" s="179"/>
      <c r="CU166" s="179"/>
      <c r="CV166" s="179"/>
      <c r="CW166" s="179"/>
      <c r="CX166" s="179"/>
      <c r="CY166" s="179"/>
      <c r="CZ166" s="179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79"/>
      <c r="DU166" s="179"/>
      <c r="DV166" s="179"/>
      <c r="DW166" s="179"/>
      <c r="DX166" s="179"/>
    </row>
    <row r="167" spans="9:128" ht="13.5">
      <c r="I167" s="169"/>
      <c r="J167" s="169"/>
      <c r="K167" s="169"/>
      <c r="M167" s="187"/>
      <c r="N167" s="188"/>
      <c r="O167" s="171"/>
      <c r="Q167" s="171"/>
      <c r="R167" s="171"/>
      <c r="S167" s="173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79"/>
      <c r="BF167" s="179"/>
      <c r="BG167" s="179"/>
      <c r="BH167" s="179"/>
      <c r="BI167" s="179"/>
      <c r="BJ167" s="179"/>
      <c r="BK167" s="179"/>
      <c r="BL167" s="179"/>
      <c r="BM167" s="179"/>
      <c r="BN167" s="179"/>
      <c r="BO167" s="179"/>
      <c r="BP167" s="179"/>
      <c r="BQ167" s="179"/>
      <c r="BR167" s="179"/>
      <c r="BS167" s="179"/>
      <c r="BT167" s="179"/>
      <c r="BU167" s="179"/>
      <c r="BV167" s="179"/>
      <c r="BW167" s="179"/>
      <c r="BX167" s="179"/>
      <c r="BY167" s="179"/>
      <c r="BZ167" s="179"/>
      <c r="CA167" s="179"/>
      <c r="CB167" s="179"/>
      <c r="CC167" s="179"/>
      <c r="CD167" s="179"/>
      <c r="CE167" s="179"/>
      <c r="CF167" s="179"/>
      <c r="CG167" s="179"/>
      <c r="CH167" s="179"/>
      <c r="CI167" s="179"/>
      <c r="CJ167" s="179"/>
      <c r="CK167" s="179"/>
      <c r="CL167" s="179"/>
      <c r="CM167" s="179"/>
      <c r="CN167" s="179"/>
      <c r="CO167" s="179"/>
      <c r="CP167" s="179"/>
      <c r="CQ167" s="179"/>
      <c r="CR167" s="179"/>
      <c r="CS167" s="179"/>
      <c r="CT167" s="179"/>
      <c r="CU167" s="179"/>
      <c r="CV167" s="179"/>
      <c r="CW167" s="179"/>
      <c r="CX167" s="179"/>
      <c r="CY167" s="179"/>
      <c r="CZ167" s="179"/>
      <c r="DA167" s="179"/>
      <c r="DB167" s="179"/>
      <c r="DC167" s="179"/>
      <c r="DD167" s="179"/>
      <c r="DE167" s="179"/>
      <c r="DF167" s="179"/>
      <c r="DG167" s="179"/>
      <c r="DH167" s="179"/>
      <c r="DI167" s="179"/>
      <c r="DJ167" s="179"/>
      <c r="DK167" s="179"/>
      <c r="DL167" s="179"/>
      <c r="DM167" s="179"/>
      <c r="DN167" s="179"/>
      <c r="DO167" s="179"/>
      <c r="DP167" s="179"/>
      <c r="DQ167" s="179"/>
      <c r="DR167" s="179"/>
      <c r="DS167" s="179"/>
      <c r="DT167" s="179"/>
      <c r="DU167" s="179"/>
      <c r="DV167" s="179"/>
      <c r="DW167" s="179"/>
      <c r="DX167" s="179"/>
    </row>
    <row r="168" spans="2:128" ht="13.5">
      <c r="B168" s="187"/>
      <c r="C168" s="187"/>
      <c r="D168" s="187"/>
      <c r="E168" s="187"/>
      <c r="F168" s="187"/>
      <c r="G168" s="187"/>
      <c r="H168" s="187"/>
      <c r="I168" s="199"/>
      <c r="J168" s="199"/>
      <c r="K168" s="199"/>
      <c r="L168" s="199"/>
      <c r="M168" s="187"/>
      <c r="N168" s="188"/>
      <c r="O168" s="171"/>
      <c r="Q168" s="171"/>
      <c r="R168" s="171"/>
      <c r="S168" s="173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79"/>
      <c r="BN168" s="179"/>
      <c r="BO168" s="179"/>
      <c r="BP168" s="179"/>
      <c r="BQ168" s="179"/>
      <c r="BR168" s="179"/>
      <c r="BS168" s="179"/>
      <c r="BT168" s="179"/>
      <c r="BU168" s="179"/>
      <c r="BV168" s="179"/>
      <c r="BW168" s="179"/>
      <c r="BX168" s="179"/>
      <c r="BY168" s="179"/>
      <c r="BZ168" s="179"/>
      <c r="CA168" s="179"/>
      <c r="CB168" s="179"/>
      <c r="CC168" s="179"/>
      <c r="CD168" s="179"/>
      <c r="CE168" s="179"/>
      <c r="CF168" s="179"/>
      <c r="CG168" s="179"/>
      <c r="CH168" s="179"/>
      <c r="CI168" s="179"/>
      <c r="CJ168" s="179"/>
      <c r="CK168" s="179"/>
      <c r="CL168" s="179"/>
      <c r="CM168" s="179"/>
      <c r="CN168" s="179"/>
      <c r="CO168" s="179"/>
      <c r="CP168" s="179"/>
      <c r="CQ168" s="179"/>
      <c r="CR168" s="179"/>
      <c r="CS168" s="179"/>
      <c r="CT168" s="179"/>
      <c r="CU168" s="179"/>
      <c r="CV168" s="179"/>
      <c r="CW168" s="179"/>
      <c r="CX168" s="179"/>
      <c r="CY168" s="179"/>
      <c r="CZ168" s="179"/>
      <c r="DA168" s="179"/>
      <c r="DB168" s="179"/>
      <c r="DC168" s="179"/>
      <c r="DD168" s="179"/>
      <c r="DE168" s="179"/>
      <c r="DF168" s="179"/>
      <c r="DG168" s="179"/>
      <c r="DH168" s="179"/>
      <c r="DI168" s="179"/>
      <c r="DJ168" s="179"/>
      <c r="DK168" s="179"/>
      <c r="DL168" s="179"/>
      <c r="DM168" s="179"/>
      <c r="DN168" s="179"/>
      <c r="DO168" s="179"/>
      <c r="DP168" s="179"/>
      <c r="DQ168" s="179"/>
      <c r="DR168" s="179"/>
      <c r="DS168" s="179"/>
      <c r="DT168" s="179"/>
      <c r="DU168" s="179"/>
      <c r="DV168" s="179"/>
      <c r="DW168" s="179"/>
      <c r="DX168" s="179"/>
    </row>
    <row r="169" spans="9:128" ht="13.5">
      <c r="I169" s="169"/>
      <c r="J169" s="169"/>
      <c r="K169" s="169"/>
      <c r="M169" s="187"/>
      <c r="N169" s="188"/>
      <c r="O169" s="171"/>
      <c r="Q169" s="171"/>
      <c r="R169" s="171"/>
      <c r="S169" s="173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</row>
    <row r="170" spans="9:128" ht="13.5">
      <c r="I170" s="169"/>
      <c r="J170" s="169"/>
      <c r="K170" s="169"/>
      <c r="M170" s="187"/>
      <c r="N170" s="188"/>
      <c r="O170" s="171"/>
      <c r="Q170" s="171"/>
      <c r="R170" s="171"/>
      <c r="S170" s="173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79"/>
      <c r="BV170" s="179"/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79"/>
      <c r="CH170" s="179"/>
      <c r="CI170" s="179"/>
      <c r="CJ170" s="179"/>
      <c r="CK170" s="179"/>
      <c r="CL170" s="179"/>
      <c r="CM170" s="179"/>
      <c r="CN170" s="179"/>
      <c r="CO170" s="179"/>
      <c r="CP170" s="179"/>
      <c r="CQ170" s="179"/>
      <c r="CR170" s="179"/>
      <c r="CS170" s="179"/>
      <c r="CT170" s="179"/>
      <c r="CU170" s="179"/>
      <c r="CV170" s="179"/>
      <c r="CW170" s="179"/>
      <c r="CX170" s="179"/>
      <c r="CY170" s="179"/>
      <c r="CZ170" s="179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</row>
    <row r="171" spans="9:128" ht="13.5">
      <c r="I171" s="169"/>
      <c r="J171" s="169"/>
      <c r="K171" s="169"/>
      <c r="M171" s="187"/>
      <c r="N171" s="188"/>
      <c r="O171" s="171"/>
      <c r="Q171" s="171"/>
      <c r="R171" s="171"/>
      <c r="S171" s="173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  <c r="BS171" s="179"/>
      <c r="BT171" s="179"/>
      <c r="BU171" s="179"/>
      <c r="BV171" s="179"/>
      <c r="BW171" s="179"/>
      <c r="BX171" s="179"/>
      <c r="BY171" s="179"/>
      <c r="BZ171" s="179"/>
      <c r="CA171" s="179"/>
      <c r="CB171" s="179"/>
      <c r="CC171" s="179"/>
      <c r="CD171" s="179"/>
      <c r="CE171" s="179"/>
      <c r="CF171" s="179"/>
      <c r="CG171" s="179"/>
      <c r="CH171" s="179"/>
      <c r="CI171" s="179"/>
      <c r="CJ171" s="179"/>
      <c r="CK171" s="179"/>
      <c r="CL171" s="179"/>
      <c r="CM171" s="179"/>
      <c r="CN171" s="179"/>
      <c r="CO171" s="179"/>
      <c r="CP171" s="179"/>
      <c r="CQ171" s="179"/>
      <c r="CR171" s="179"/>
      <c r="CS171" s="179"/>
      <c r="CT171" s="179"/>
      <c r="CU171" s="179"/>
      <c r="CV171" s="179"/>
      <c r="CW171" s="179"/>
      <c r="CX171" s="179"/>
      <c r="CY171" s="179"/>
      <c r="CZ171" s="179"/>
      <c r="DA171" s="179"/>
      <c r="DB171" s="179"/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179"/>
      <c r="DR171" s="179"/>
      <c r="DS171" s="179"/>
      <c r="DT171" s="179"/>
      <c r="DU171" s="179"/>
      <c r="DV171" s="179"/>
      <c r="DW171" s="179"/>
      <c r="DX171" s="179"/>
    </row>
    <row r="172" spans="9:128" ht="13.5">
      <c r="I172" s="169"/>
      <c r="J172" s="169"/>
      <c r="K172" s="169"/>
      <c r="M172" s="187"/>
      <c r="N172" s="188"/>
      <c r="O172" s="171"/>
      <c r="Q172" s="171"/>
      <c r="R172" s="171"/>
      <c r="S172" s="173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79"/>
      <c r="CI172" s="179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</row>
    <row r="173" spans="9:128" ht="13.5">
      <c r="I173" s="169"/>
      <c r="J173" s="169"/>
      <c r="K173" s="169"/>
      <c r="M173" s="187"/>
      <c r="N173" s="188"/>
      <c r="O173" s="171"/>
      <c r="Q173" s="171"/>
      <c r="R173" s="171"/>
      <c r="S173" s="173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  <c r="BS173" s="179"/>
      <c r="BT173" s="179"/>
      <c r="BU173" s="179"/>
      <c r="BV173" s="179"/>
      <c r="BW173" s="179"/>
      <c r="BX173" s="179"/>
      <c r="BY173" s="179"/>
      <c r="BZ173" s="179"/>
      <c r="CA173" s="179"/>
      <c r="CB173" s="179"/>
      <c r="CC173" s="179"/>
      <c r="CD173" s="179"/>
      <c r="CE173" s="179"/>
      <c r="CF173" s="179"/>
      <c r="CG173" s="179"/>
      <c r="CH173" s="179"/>
      <c r="CI173" s="179"/>
      <c r="CJ173" s="179"/>
      <c r="CK173" s="179"/>
      <c r="CL173" s="179"/>
      <c r="CM173" s="179"/>
      <c r="CN173" s="179"/>
      <c r="CO173" s="179"/>
      <c r="CP173" s="179"/>
      <c r="CQ173" s="179"/>
      <c r="CR173" s="179"/>
      <c r="CS173" s="179"/>
      <c r="CT173" s="179"/>
      <c r="CU173" s="179"/>
      <c r="CV173" s="179"/>
      <c r="CW173" s="179"/>
      <c r="CX173" s="179"/>
      <c r="CY173" s="179"/>
      <c r="CZ173" s="179"/>
      <c r="DA173" s="179"/>
      <c r="DB173" s="179"/>
      <c r="DC173" s="179"/>
      <c r="DD173" s="179"/>
      <c r="DE173" s="179"/>
      <c r="DF173" s="179"/>
      <c r="DG173" s="179"/>
      <c r="DH173" s="179"/>
      <c r="DI173" s="179"/>
      <c r="DJ173" s="179"/>
      <c r="DK173" s="179"/>
      <c r="DL173" s="179"/>
      <c r="DM173" s="179"/>
      <c r="DN173" s="179"/>
      <c r="DO173" s="179"/>
      <c r="DP173" s="179"/>
      <c r="DQ173" s="179"/>
      <c r="DR173" s="179"/>
      <c r="DS173" s="179"/>
      <c r="DT173" s="179"/>
      <c r="DU173" s="179"/>
      <c r="DV173" s="179"/>
      <c r="DW173" s="179"/>
      <c r="DX173" s="179"/>
    </row>
    <row r="174" spans="9:128" ht="13.5">
      <c r="I174" s="169"/>
      <c r="J174" s="169"/>
      <c r="K174" s="169"/>
      <c r="M174" s="187"/>
      <c r="N174" s="188"/>
      <c r="O174" s="171"/>
      <c r="Q174" s="171"/>
      <c r="R174" s="171"/>
      <c r="S174" s="173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79"/>
      <c r="BN174" s="179"/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BZ174" s="179"/>
      <c r="CA174" s="179"/>
      <c r="CB174" s="179"/>
      <c r="CC174" s="179"/>
      <c r="CD174" s="179"/>
      <c r="CE174" s="179"/>
      <c r="CF174" s="179"/>
      <c r="CG174" s="179"/>
      <c r="CH174" s="179"/>
      <c r="CI174" s="179"/>
      <c r="CJ174" s="179"/>
      <c r="CK174" s="179"/>
      <c r="CL174" s="179"/>
      <c r="CM174" s="179"/>
      <c r="CN174" s="179"/>
      <c r="CO174" s="179"/>
      <c r="CP174" s="179"/>
      <c r="CQ174" s="179"/>
      <c r="CR174" s="179"/>
      <c r="CS174" s="179"/>
      <c r="CT174" s="179"/>
      <c r="CU174" s="179"/>
      <c r="CV174" s="179"/>
      <c r="CW174" s="179"/>
      <c r="CX174" s="179"/>
      <c r="CY174" s="179"/>
      <c r="CZ174" s="179"/>
      <c r="DA174" s="179"/>
      <c r="DB174" s="179"/>
      <c r="DC174" s="179"/>
      <c r="DD174" s="179"/>
      <c r="DE174" s="179"/>
      <c r="DF174" s="179"/>
      <c r="DG174" s="179"/>
      <c r="DH174" s="179"/>
      <c r="DI174" s="179"/>
      <c r="DJ174" s="179"/>
      <c r="DK174" s="179"/>
      <c r="DL174" s="179"/>
      <c r="DM174" s="179"/>
      <c r="DN174" s="179"/>
      <c r="DO174" s="179"/>
      <c r="DP174" s="179"/>
      <c r="DQ174" s="179"/>
      <c r="DR174" s="179"/>
      <c r="DS174" s="179"/>
      <c r="DT174" s="179"/>
      <c r="DU174" s="179"/>
      <c r="DV174" s="179"/>
      <c r="DW174" s="179"/>
      <c r="DX174" s="179"/>
    </row>
    <row r="175" spans="1:130" s="191" customFormat="1" ht="13.5">
      <c r="A175" s="187"/>
      <c r="B175" s="167"/>
      <c r="C175" s="167"/>
      <c r="D175" s="167"/>
      <c r="E175" s="167"/>
      <c r="F175" s="167"/>
      <c r="G175" s="167"/>
      <c r="H175" s="167"/>
      <c r="I175" s="169"/>
      <c r="J175" s="169"/>
      <c r="K175" s="169"/>
      <c r="L175" s="169"/>
      <c r="M175" s="187"/>
      <c r="N175" s="188"/>
      <c r="O175" s="171"/>
      <c r="P175" s="172"/>
      <c r="Q175" s="171"/>
      <c r="R175" s="171"/>
      <c r="S175" s="173"/>
      <c r="T175" s="18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90"/>
      <c r="DZ175" s="190"/>
    </row>
    <row r="176" spans="9:128" ht="13.5">
      <c r="I176" s="169"/>
      <c r="J176" s="169"/>
      <c r="K176" s="169"/>
      <c r="M176" s="187"/>
      <c r="N176" s="188"/>
      <c r="O176" s="171"/>
      <c r="Q176" s="171"/>
      <c r="R176" s="171"/>
      <c r="S176" s="173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79"/>
      <c r="CG176" s="179"/>
      <c r="CH176" s="179"/>
      <c r="CI176" s="179"/>
      <c r="CJ176" s="179"/>
      <c r="CK176" s="179"/>
      <c r="CL176" s="179"/>
      <c r="CM176" s="179"/>
      <c r="CN176" s="179"/>
      <c r="CO176" s="179"/>
      <c r="CP176" s="179"/>
      <c r="CQ176" s="179"/>
      <c r="CR176" s="179"/>
      <c r="CS176" s="179"/>
      <c r="CT176" s="179"/>
      <c r="CU176" s="179"/>
      <c r="CV176" s="179"/>
      <c r="CW176" s="179"/>
      <c r="CX176" s="179"/>
      <c r="CY176" s="179"/>
      <c r="CZ176" s="179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</row>
    <row r="177" spans="9:128" ht="13.5">
      <c r="I177" s="169"/>
      <c r="J177" s="169"/>
      <c r="K177" s="169"/>
      <c r="M177" s="187"/>
      <c r="N177" s="188"/>
      <c r="O177" s="171"/>
      <c r="Q177" s="171"/>
      <c r="R177" s="171"/>
      <c r="S177" s="173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BZ177" s="179"/>
      <c r="CA177" s="179"/>
      <c r="CB177" s="179"/>
      <c r="CC177" s="179"/>
      <c r="CD177" s="179"/>
      <c r="CE177" s="179"/>
      <c r="CF177" s="179"/>
      <c r="CG177" s="179"/>
      <c r="CH177" s="179"/>
      <c r="CI177" s="179"/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</row>
    <row r="178" spans="2:128" ht="13.5">
      <c r="B178" s="187"/>
      <c r="C178" s="187"/>
      <c r="D178" s="187"/>
      <c r="E178" s="187"/>
      <c r="F178" s="187"/>
      <c r="G178" s="187"/>
      <c r="H178" s="187"/>
      <c r="I178" s="199"/>
      <c r="J178" s="199"/>
      <c r="K178" s="199"/>
      <c r="L178" s="199"/>
      <c r="M178" s="187"/>
      <c r="N178" s="188"/>
      <c r="O178" s="171"/>
      <c r="Q178" s="171"/>
      <c r="R178" s="171"/>
      <c r="S178" s="173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</row>
    <row r="179" spans="9:128" ht="13.5">
      <c r="I179" s="169"/>
      <c r="J179" s="169"/>
      <c r="K179" s="169"/>
      <c r="M179" s="187"/>
      <c r="N179" s="188"/>
      <c r="O179" s="171"/>
      <c r="Q179" s="171"/>
      <c r="R179" s="171"/>
      <c r="S179" s="173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  <c r="BS179" s="179"/>
      <c r="BT179" s="179"/>
      <c r="BU179" s="179"/>
      <c r="BV179" s="179"/>
      <c r="BW179" s="179"/>
      <c r="BX179" s="179"/>
      <c r="BY179" s="179"/>
      <c r="BZ179" s="179"/>
      <c r="CA179" s="179"/>
      <c r="CB179" s="179"/>
      <c r="CC179" s="179"/>
      <c r="CD179" s="179"/>
      <c r="CE179" s="179"/>
      <c r="CF179" s="179"/>
      <c r="CG179" s="179"/>
      <c r="CH179" s="179"/>
      <c r="CI179" s="179"/>
      <c r="CJ179" s="179"/>
      <c r="CK179" s="179"/>
      <c r="CL179" s="179"/>
      <c r="CM179" s="179"/>
      <c r="CN179" s="179"/>
      <c r="CO179" s="179"/>
      <c r="CP179" s="179"/>
      <c r="CQ179" s="179"/>
      <c r="CR179" s="179"/>
      <c r="CS179" s="179"/>
      <c r="CT179" s="179"/>
      <c r="CU179" s="179"/>
      <c r="CV179" s="179"/>
      <c r="CW179" s="179"/>
      <c r="CX179" s="179"/>
      <c r="CY179" s="179"/>
      <c r="CZ179" s="179"/>
      <c r="DA179" s="179"/>
      <c r="DB179" s="179"/>
      <c r="DC179" s="179"/>
      <c r="DD179" s="179"/>
      <c r="DE179" s="179"/>
      <c r="DF179" s="179"/>
      <c r="DG179" s="179"/>
      <c r="DH179" s="179"/>
      <c r="DI179" s="179"/>
      <c r="DJ179" s="179"/>
      <c r="DK179" s="179"/>
      <c r="DL179" s="179"/>
      <c r="DM179" s="179"/>
      <c r="DN179" s="179"/>
      <c r="DO179" s="179"/>
      <c r="DP179" s="179"/>
      <c r="DQ179" s="179"/>
      <c r="DR179" s="179"/>
      <c r="DS179" s="179"/>
      <c r="DT179" s="179"/>
      <c r="DU179" s="179"/>
      <c r="DV179" s="179"/>
      <c r="DW179" s="179"/>
      <c r="DX179" s="179"/>
    </row>
    <row r="180" spans="9:128" ht="13.5">
      <c r="I180" s="169"/>
      <c r="J180" s="169"/>
      <c r="K180" s="169"/>
      <c r="M180" s="187"/>
      <c r="N180" s="188"/>
      <c r="O180" s="171"/>
      <c r="Q180" s="171"/>
      <c r="R180" s="171"/>
      <c r="S180" s="173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79"/>
      <c r="BN180" s="179"/>
      <c r="BO180" s="179"/>
      <c r="BP180" s="179"/>
      <c r="BQ180" s="179"/>
      <c r="BR180" s="179"/>
      <c r="BS180" s="179"/>
      <c r="BT180" s="179"/>
      <c r="BU180" s="179"/>
      <c r="BV180" s="179"/>
      <c r="BW180" s="179"/>
      <c r="BX180" s="179"/>
      <c r="BY180" s="179"/>
      <c r="BZ180" s="179"/>
      <c r="CA180" s="179"/>
      <c r="CB180" s="179"/>
      <c r="CC180" s="179"/>
      <c r="CD180" s="179"/>
      <c r="CE180" s="179"/>
      <c r="CF180" s="179"/>
      <c r="CG180" s="179"/>
      <c r="CH180" s="179"/>
      <c r="CI180" s="179"/>
      <c r="CJ180" s="179"/>
      <c r="CK180" s="179"/>
      <c r="CL180" s="179"/>
      <c r="CM180" s="179"/>
      <c r="CN180" s="179"/>
      <c r="CO180" s="179"/>
      <c r="CP180" s="179"/>
      <c r="CQ180" s="179"/>
      <c r="CR180" s="179"/>
      <c r="CS180" s="179"/>
      <c r="CT180" s="179"/>
      <c r="CU180" s="179"/>
      <c r="CV180" s="179"/>
      <c r="CW180" s="179"/>
      <c r="CX180" s="179"/>
      <c r="CY180" s="179"/>
      <c r="CZ180" s="179"/>
      <c r="DA180" s="179"/>
      <c r="DB180" s="179"/>
      <c r="DC180" s="179"/>
      <c r="DD180" s="179"/>
      <c r="DE180" s="179"/>
      <c r="DF180" s="179"/>
      <c r="DG180" s="179"/>
      <c r="DH180" s="179"/>
      <c r="DI180" s="179"/>
      <c r="DJ180" s="179"/>
      <c r="DK180" s="179"/>
      <c r="DL180" s="179"/>
      <c r="DM180" s="179"/>
      <c r="DN180" s="179"/>
      <c r="DO180" s="179"/>
      <c r="DP180" s="179"/>
      <c r="DQ180" s="179"/>
      <c r="DR180" s="179"/>
      <c r="DS180" s="179"/>
      <c r="DT180" s="179"/>
      <c r="DU180" s="179"/>
      <c r="DV180" s="179"/>
      <c r="DW180" s="179"/>
      <c r="DX180" s="179"/>
    </row>
    <row r="181" spans="9:128" ht="13.5">
      <c r="I181" s="169"/>
      <c r="J181" s="169"/>
      <c r="K181" s="169"/>
      <c r="M181" s="187"/>
      <c r="N181" s="188"/>
      <c r="O181" s="171"/>
      <c r="Q181" s="171"/>
      <c r="R181" s="171"/>
      <c r="S181" s="173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9"/>
      <c r="BI181" s="179"/>
      <c r="BJ181" s="179"/>
      <c r="BK181" s="179"/>
      <c r="BL181" s="179"/>
      <c r="BM181" s="179"/>
      <c r="BN181" s="179"/>
      <c r="BO181" s="179"/>
      <c r="BP181" s="179"/>
      <c r="BQ181" s="179"/>
      <c r="BR181" s="179"/>
      <c r="BS181" s="179"/>
      <c r="BT181" s="179"/>
      <c r="BU181" s="179"/>
      <c r="BV181" s="179"/>
      <c r="BW181" s="179"/>
      <c r="BX181" s="179"/>
      <c r="BY181" s="179"/>
      <c r="BZ181" s="179"/>
      <c r="CA181" s="179"/>
      <c r="CB181" s="179"/>
      <c r="CC181" s="179"/>
      <c r="CD181" s="179"/>
      <c r="CE181" s="179"/>
      <c r="CF181" s="179"/>
      <c r="CG181" s="179"/>
      <c r="CH181" s="179"/>
      <c r="CI181" s="179"/>
      <c r="CJ181" s="179"/>
      <c r="CK181" s="179"/>
      <c r="CL181" s="179"/>
      <c r="CM181" s="179"/>
      <c r="CN181" s="179"/>
      <c r="CO181" s="179"/>
      <c r="CP181" s="179"/>
      <c r="CQ181" s="179"/>
      <c r="CR181" s="179"/>
      <c r="CS181" s="179"/>
      <c r="CT181" s="179"/>
      <c r="CU181" s="179"/>
      <c r="CV181" s="179"/>
      <c r="CW181" s="179"/>
      <c r="CX181" s="179"/>
      <c r="CY181" s="179"/>
      <c r="CZ181" s="179"/>
      <c r="DA181" s="179"/>
      <c r="DB181" s="179"/>
      <c r="DC181" s="179"/>
      <c r="DD181" s="179"/>
      <c r="DE181" s="179"/>
      <c r="DF181" s="179"/>
      <c r="DG181" s="179"/>
      <c r="DH181" s="179"/>
      <c r="DI181" s="179"/>
      <c r="DJ181" s="179"/>
      <c r="DK181" s="179"/>
      <c r="DL181" s="179"/>
      <c r="DM181" s="179"/>
      <c r="DN181" s="179"/>
      <c r="DO181" s="179"/>
      <c r="DP181" s="179"/>
      <c r="DQ181" s="179"/>
      <c r="DR181" s="179"/>
      <c r="DS181" s="179"/>
      <c r="DT181" s="179"/>
      <c r="DU181" s="179"/>
      <c r="DV181" s="179"/>
      <c r="DW181" s="179"/>
      <c r="DX181" s="179"/>
    </row>
    <row r="182" spans="9:128" ht="13.5">
      <c r="I182" s="169"/>
      <c r="J182" s="169"/>
      <c r="K182" s="169"/>
      <c r="M182" s="187"/>
      <c r="N182" s="188"/>
      <c r="O182" s="171"/>
      <c r="Q182" s="171"/>
      <c r="R182" s="171"/>
      <c r="S182" s="173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  <c r="BI182" s="179"/>
      <c r="BJ182" s="179"/>
      <c r="BK182" s="179"/>
      <c r="BL182" s="179"/>
      <c r="BM182" s="179"/>
      <c r="BN182" s="179"/>
      <c r="BO182" s="179"/>
      <c r="BP182" s="179"/>
      <c r="BQ182" s="179"/>
      <c r="BR182" s="179"/>
      <c r="BS182" s="179"/>
      <c r="BT182" s="179"/>
      <c r="BU182" s="179"/>
      <c r="BV182" s="179"/>
      <c r="BW182" s="179"/>
      <c r="BX182" s="179"/>
      <c r="BY182" s="179"/>
      <c r="BZ182" s="179"/>
      <c r="CA182" s="179"/>
      <c r="CB182" s="179"/>
      <c r="CC182" s="179"/>
      <c r="CD182" s="179"/>
      <c r="CE182" s="179"/>
      <c r="CF182" s="179"/>
      <c r="CG182" s="179"/>
      <c r="CH182" s="179"/>
      <c r="CI182" s="179"/>
      <c r="CJ182" s="179"/>
      <c r="CK182" s="179"/>
      <c r="CL182" s="179"/>
      <c r="CM182" s="179"/>
      <c r="CN182" s="179"/>
      <c r="CO182" s="179"/>
      <c r="CP182" s="179"/>
      <c r="CQ182" s="179"/>
      <c r="CR182" s="179"/>
      <c r="CS182" s="179"/>
      <c r="CT182" s="179"/>
      <c r="CU182" s="179"/>
      <c r="CV182" s="179"/>
      <c r="CW182" s="179"/>
      <c r="CX182" s="179"/>
      <c r="CY182" s="179"/>
      <c r="CZ182" s="179"/>
      <c r="DA182" s="179"/>
      <c r="DB182" s="179"/>
      <c r="DC182" s="179"/>
      <c r="DD182" s="179"/>
      <c r="DE182" s="179"/>
      <c r="DF182" s="179"/>
      <c r="DG182" s="179"/>
      <c r="DH182" s="179"/>
      <c r="DI182" s="179"/>
      <c r="DJ182" s="179"/>
      <c r="DK182" s="179"/>
      <c r="DL182" s="179"/>
      <c r="DM182" s="179"/>
      <c r="DN182" s="179"/>
      <c r="DO182" s="179"/>
      <c r="DP182" s="179"/>
      <c r="DQ182" s="179"/>
      <c r="DR182" s="179"/>
      <c r="DS182" s="179"/>
      <c r="DT182" s="179"/>
      <c r="DU182" s="179"/>
      <c r="DV182" s="179"/>
      <c r="DW182" s="179"/>
      <c r="DX182" s="179"/>
    </row>
    <row r="183" spans="9:128" ht="13.5">
      <c r="I183" s="169"/>
      <c r="J183" s="169"/>
      <c r="K183" s="169"/>
      <c r="M183" s="187"/>
      <c r="N183" s="188"/>
      <c r="O183" s="171"/>
      <c r="Q183" s="171"/>
      <c r="R183" s="171"/>
      <c r="S183" s="173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179"/>
      <c r="BJ183" s="179"/>
      <c r="BK183" s="179"/>
      <c r="BL183" s="179"/>
      <c r="BM183" s="179"/>
      <c r="BN183" s="179"/>
      <c r="BO183" s="179"/>
      <c r="BP183" s="179"/>
      <c r="BQ183" s="179"/>
      <c r="BR183" s="179"/>
      <c r="BS183" s="179"/>
      <c r="BT183" s="179"/>
      <c r="BU183" s="179"/>
      <c r="BV183" s="179"/>
      <c r="BW183" s="179"/>
      <c r="BX183" s="179"/>
      <c r="BY183" s="179"/>
      <c r="BZ183" s="179"/>
      <c r="CA183" s="179"/>
      <c r="CB183" s="179"/>
      <c r="CC183" s="179"/>
      <c r="CD183" s="179"/>
      <c r="CE183" s="179"/>
      <c r="CF183" s="179"/>
      <c r="CG183" s="179"/>
      <c r="CH183" s="179"/>
      <c r="CI183" s="179"/>
      <c r="CJ183" s="179"/>
      <c r="CK183" s="179"/>
      <c r="CL183" s="179"/>
      <c r="CM183" s="179"/>
      <c r="CN183" s="179"/>
      <c r="CO183" s="179"/>
      <c r="CP183" s="179"/>
      <c r="CQ183" s="179"/>
      <c r="CR183" s="179"/>
      <c r="CS183" s="179"/>
      <c r="CT183" s="179"/>
      <c r="CU183" s="179"/>
      <c r="CV183" s="179"/>
      <c r="CW183" s="179"/>
      <c r="CX183" s="179"/>
      <c r="CY183" s="179"/>
      <c r="CZ183" s="179"/>
      <c r="DA183" s="179"/>
      <c r="DB183" s="179"/>
      <c r="DC183" s="179"/>
      <c r="DD183" s="179"/>
      <c r="DE183" s="179"/>
      <c r="DF183" s="179"/>
      <c r="DG183" s="179"/>
      <c r="DH183" s="179"/>
      <c r="DI183" s="179"/>
      <c r="DJ183" s="179"/>
      <c r="DK183" s="179"/>
      <c r="DL183" s="179"/>
      <c r="DM183" s="179"/>
      <c r="DN183" s="179"/>
      <c r="DO183" s="179"/>
      <c r="DP183" s="179"/>
      <c r="DQ183" s="179"/>
      <c r="DR183" s="179"/>
      <c r="DS183" s="179"/>
      <c r="DT183" s="179"/>
      <c r="DU183" s="179"/>
      <c r="DV183" s="179"/>
      <c r="DW183" s="179"/>
      <c r="DX183" s="179"/>
    </row>
    <row r="184" spans="1:130" s="191" customFormat="1" ht="13.5">
      <c r="A184" s="187"/>
      <c r="B184" s="167"/>
      <c r="C184" s="167"/>
      <c r="D184" s="167"/>
      <c r="E184" s="167"/>
      <c r="F184" s="167"/>
      <c r="G184" s="167"/>
      <c r="H184" s="167"/>
      <c r="I184" s="169"/>
      <c r="J184" s="169"/>
      <c r="K184" s="169"/>
      <c r="L184" s="169"/>
      <c r="M184" s="187"/>
      <c r="N184" s="188"/>
      <c r="O184" s="171"/>
      <c r="P184" s="172"/>
      <c r="Q184" s="171"/>
      <c r="R184" s="171"/>
      <c r="S184" s="173"/>
      <c r="T184" s="18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  <c r="BD184" s="179"/>
      <c r="BE184" s="179"/>
      <c r="BF184" s="179"/>
      <c r="BG184" s="179"/>
      <c r="BH184" s="179"/>
      <c r="BI184" s="179"/>
      <c r="BJ184" s="179"/>
      <c r="BK184" s="179"/>
      <c r="BL184" s="179"/>
      <c r="BM184" s="179"/>
      <c r="BN184" s="179"/>
      <c r="BO184" s="179"/>
      <c r="BP184" s="179"/>
      <c r="BQ184" s="179"/>
      <c r="BR184" s="179"/>
      <c r="BS184" s="179"/>
      <c r="BT184" s="179"/>
      <c r="BU184" s="179"/>
      <c r="BV184" s="179"/>
      <c r="BW184" s="179"/>
      <c r="BX184" s="179"/>
      <c r="BY184" s="179"/>
      <c r="BZ184" s="179"/>
      <c r="CA184" s="179"/>
      <c r="CB184" s="179"/>
      <c r="CC184" s="179"/>
      <c r="CD184" s="179"/>
      <c r="CE184" s="179"/>
      <c r="CF184" s="179"/>
      <c r="CG184" s="179"/>
      <c r="CH184" s="179"/>
      <c r="CI184" s="179"/>
      <c r="CJ184" s="179"/>
      <c r="CK184" s="179"/>
      <c r="CL184" s="179"/>
      <c r="CM184" s="179"/>
      <c r="CN184" s="179"/>
      <c r="CO184" s="179"/>
      <c r="CP184" s="179"/>
      <c r="CQ184" s="179"/>
      <c r="CR184" s="179"/>
      <c r="CS184" s="179"/>
      <c r="CT184" s="179"/>
      <c r="CU184" s="179"/>
      <c r="CV184" s="179"/>
      <c r="CW184" s="179"/>
      <c r="CX184" s="179"/>
      <c r="CY184" s="179"/>
      <c r="CZ184" s="179"/>
      <c r="DA184" s="179"/>
      <c r="DB184" s="179"/>
      <c r="DC184" s="179"/>
      <c r="DD184" s="179"/>
      <c r="DE184" s="179"/>
      <c r="DF184" s="179"/>
      <c r="DG184" s="179"/>
      <c r="DH184" s="179"/>
      <c r="DI184" s="179"/>
      <c r="DJ184" s="179"/>
      <c r="DK184" s="179"/>
      <c r="DL184" s="179"/>
      <c r="DM184" s="179"/>
      <c r="DN184" s="179"/>
      <c r="DO184" s="179"/>
      <c r="DP184" s="179"/>
      <c r="DQ184" s="179"/>
      <c r="DR184" s="179"/>
      <c r="DS184" s="179"/>
      <c r="DT184" s="179"/>
      <c r="DU184" s="179"/>
      <c r="DV184" s="179"/>
      <c r="DW184" s="179"/>
      <c r="DX184" s="179"/>
      <c r="DY184" s="190"/>
      <c r="DZ184" s="190"/>
    </row>
    <row r="185" spans="9:128" ht="13.5">
      <c r="I185" s="169"/>
      <c r="J185" s="169"/>
      <c r="K185" s="169"/>
      <c r="M185" s="187"/>
      <c r="N185" s="188"/>
      <c r="O185" s="171"/>
      <c r="Q185" s="171"/>
      <c r="R185" s="171"/>
      <c r="S185" s="173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79"/>
      <c r="CH185" s="179"/>
      <c r="CI185" s="179"/>
      <c r="CJ185" s="179"/>
      <c r="CK185" s="179"/>
      <c r="CL185" s="179"/>
      <c r="CM185" s="179"/>
      <c r="CN185" s="179"/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</row>
    <row r="186" spans="9:128" ht="13.5">
      <c r="I186" s="169"/>
      <c r="J186" s="169"/>
      <c r="K186" s="169"/>
      <c r="M186" s="187"/>
      <c r="N186" s="188"/>
      <c r="O186" s="171"/>
      <c r="Q186" s="171"/>
      <c r="R186" s="171"/>
      <c r="S186" s="173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79"/>
      <c r="BW186" s="179"/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179"/>
      <c r="DH186" s="179"/>
      <c r="DI186" s="179"/>
      <c r="DJ186" s="179"/>
      <c r="DK186" s="179"/>
      <c r="DL186" s="179"/>
      <c r="DM186" s="179"/>
      <c r="DN186" s="179"/>
      <c r="DO186" s="179"/>
      <c r="DP186" s="179"/>
      <c r="DQ186" s="179"/>
      <c r="DR186" s="179"/>
      <c r="DS186" s="179"/>
      <c r="DT186" s="179"/>
      <c r="DU186" s="179"/>
      <c r="DV186" s="179"/>
      <c r="DW186" s="179"/>
      <c r="DX186" s="179"/>
    </row>
    <row r="187" spans="2:128" ht="13.5">
      <c r="B187" s="187"/>
      <c r="C187" s="187"/>
      <c r="D187" s="187"/>
      <c r="E187" s="187"/>
      <c r="F187" s="187"/>
      <c r="G187" s="187"/>
      <c r="H187" s="187"/>
      <c r="I187" s="199"/>
      <c r="J187" s="199"/>
      <c r="K187" s="199"/>
      <c r="L187" s="199"/>
      <c r="M187" s="187"/>
      <c r="N187" s="188"/>
      <c r="O187" s="171"/>
      <c r="Q187" s="171"/>
      <c r="R187" s="171"/>
      <c r="S187" s="173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79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</row>
    <row r="188" spans="9:128" ht="13.5">
      <c r="I188" s="169"/>
      <c r="J188" s="169"/>
      <c r="K188" s="169"/>
      <c r="M188" s="187"/>
      <c r="N188" s="188"/>
      <c r="O188" s="171"/>
      <c r="Q188" s="171"/>
      <c r="R188" s="171"/>
      <c r="S188" s="173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BZ188" s="179"/>
      <c r="CA188" s="179"/>
      <c r="CB188" s="179"/>
      <c r="CC188" s="179"/>
      <c r="CD188" s="179"/>
      <c r="CE188" s="179"/>
      <c r="CF188" s="179"/>
      <c r="CG188" s="179"/>
      <c r="CH188" s="179"/>
      <c r="CI188" s="179"/>
      <c r="CJ188" s="179"/>
      <c r="CK188" s="179"/>
      <c r="CL188" s="179"/>
      <c r="CM188" s="179"/>
      <c r="CN188" s="179"/>
      <c r="CO188" s="179"/>
      <c r="CP188" s="179"/>
      <c r="CQ188" s="179"/>
      <c r="CR188" s="179"/>
      <c r="CS188" s="179"/>
      <c r="CT188" s="179"/>
      <c r="CU188" s="179"/>
      <c r="CV188" s="179"/>
      <c r="CW188" s="179"/>
      <c r="CX188" s="179"/>
      <c r="CY188" s="179"/>
      <c r="CZ188" s="179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</row>
    <row r="189" spans="9:128" ht="13.5">
      <c r="I189" s="169"/>
      <c r="J189" s="169"/>
      <c r="K189" s="169"/>
      <c r="M189" s="187"/>
      <c r="N189" s="188"/>
      <c r="O189" s="171"/>
      <c r="Q189" s="171"/>
      <c r="R189" s="171"/>
      <c r="S189" s="173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79"/>
      <c r="BN189" s="179"/>
      <c r="BO189" s="179"/>
      <c r="BP189" s="179"/>
      <c r="BQ189" s="179"/>
      <c r="BR189" s="179"/>
      <c r="BS189" s="179"/>
      <c r="BT189" s="179"/>
      <c r="BU189" s="179"/>
      <c r="BV189" s="179"/>
      <c r="BW189" s="179"/>
      <c r="BX189" s="179"/>
      <c r="BY189" s="179"/>
      <c r="BZ189" s="179"/>
      <c r="CA189" s="179"/>
      <c r="CB189" s="179"/>
      <c r="CC189" s="179"/>
      <c r="CD189" s="179"/>
      <c r="CE189" s="179"/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79"/>
      <c r="CS189" s="179"/>
      <c r="CT189" s="179"/>
      <c r="CU189" s="179"/>
      <c r="CV189" s="179"/>
      <c r="CW189" s="179"/>
      <c r="CX189" s="179"/>
      <c r="CY189" s="179"/>
      <c r="CZ189" s="179"/>
      <c r="DA189" s="179"/>
      <c r="DB189" s="179"/>
      <c r="DC189" s="179"/>
      <c r="DD189" s="179"/>
      <c r="DE189" s="179"/>
      <c r="DF189" s="179"/>
      <c r="DG189" s="179"/>
      <c r="DH189" s="179"/>
      <c r="DI189" s="179"/>
      <c r="DJ189" s="179"/>
      <c r="DK189" s="179"/>
      <c r="DL189" s="179"/>
      <c r="DM189" s="179"/>
      <c r="DN189" s="179"/>
      <c r="DO189" s="179"/>
      <c r="DP189" s="179"/>
      <c r="DQ189" s="179"/>
      <c r="DR189" s="179"/>
      <c r="DS189" s="179"/>
      <c r="DT189" s="179"/>
      <c r="DU189" s="179"/>
      <c r="DV189" s="179"/>
      <c r="DW189" s="179"/>
      <c r="DX189" s="179"/>
    </row>
    <row r="190" spans="9:128" ht="13.5">
      <c r="I190" s="169"/>
      <c r="J190" s="169"/>
      <c r="K190" s="169"/>
      <c r="M190" s="187"/>
      <c r="N190" s="188"/>
      <c r="O190" s="171"/>
      <c r="Q190" s="171"/>
      <c r="R190" s="171"/>
      <c r="S190" s="173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</row>
    <row r="191" spans="9:128" ht="13.5">
      <c r="I191" s="169"/>
      <c r="J191" s="169"/>
      <c r="K191" s="169"/>
      <c r="M191" s="187"/>
      <c r="N191" s="188"/>
      <c r="O191" s="171"/>
      <c r="Q191" s="171"/>
      <c r="R191" s="171"/>
      <c r="S191" s="173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BZ191" s="179"/>
      <c r="CA191" s="179"/>
      <c r="CB191" s="179"/>
      <c r="CC191" s="179"/>
      <c r="CD191" s="179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79"/>
      <c r="CS191" s="179"/>
      <c r="CT191" s="179"/>
      <c r="CU191" s="179"/>
      <c r="CV191" s="179"/>
      <c r="CW191" s="179"/>
      <c r="CX191" s="179"/>
      <c r="CY191" s="179"/>
      <c r="CZ191" s="179"/>
      <c r="DA191" s="179"/>
      <c r="DB191" s="179"/>
      <c r="DC191" s="179"/>
      <c r="DD191" s="179"/>
      <c r="DE191" s="179"/>
      <c r="DF191" s="179"/>
      <c r="DG191" s="179"/>
      <c r="DH191" s="179"/>
      <c r="DI191" s="179"/>
      <c r="DJ191" s="179"/>
      <c r="DK191" s="179"/>
      <c r="DL191" s="179"/>
      <c r="DM191" s="179"/>
      <c r="DN191" s="179"/>
      <c r="DO191" s="179"/>
      <c r="DP191" s="179"/>
      <c r="DQ191" s="179"/>
      <c r="DR191" s="179"/>
      <c r="DS191" s="179"/>
      <c r="DT191" s="179"/>
      <c r="DU191" s="179"/>
      <c r="DV191" s="179"/>
      <c r="DW191" s="179"/>
      <c r="DX191" s="179"/>
    </row>
    <row r="192" spans="9:128" ht="13.5">
      <c r="I192" s="169"/>
      <c r="J192" s="169"/>
      <c r="K192" s="169"/>
      <c r="M192" s="187"/>
      <c r="N192" s="188"/>
      <c r="O192" s="171"/>
      <c r="Q192" s="171"/>
      <c r="R192" s="171"/>
      <c r="S192" s="173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</row>
    <row r="193" spans="9:128" ht="13.5">
      <c r="I193" s="169"/>
      <c r="J193" s="169"/>
      <c r="K193" s="169"/>
      <c r="M193" s="187"/>
      <c r="N193" s="188"/>
      <c r="O193" s="171"/>
      <c r="Q193" s="171"/>
      <c r="R193" s="171"/>
      <c r="S193" s="173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79"/>
      <c r="BN193" s="179"/>
      <c r="BO193" s="179"/>
      <c r="BP193" s="179"/>
      <c r="BQ193" s="179"/>
      <c r="BR193" s="179"/>
      <c r="BS193" s="179"/>
      <c r="BT193" s="179"/>
      <c r="BU193" s="179"/>
      <c r="BV193" s="179"/>
      <c r="BW193" s="179"/>
      <c r="BX193" s="179"/>
      <c r="BY193" s="179"/>
      <c r="BZ193" s="179"/>
      <c r="CA193" s="179"/>
      <c r="CB193" s="179"/>
      <c r="CC193" s="179"/>
      <c r="CD193" s="179"/>
      <c r="CE193" s="179"/>
      <c r="CF193" s="179"/>
      <c r="CG193" s="179"/>
      <c r="CH193" s="179"/>
      <c r="CI193" s="179"/>
      <c r="CJ193" s="179"/>
      <c r="CK193" s="179"/>
      <c r="CL193" s="179"/>
      <c r="CM193" s="179"/>
      <c r="CN193" s="179"/>
      <c r="CO193" s="179"/>
      <c r="CP193" s="179"/>
      <c r="CQ193" s="179"/>
      <c r="CR193" s="179"/>
      <c r="CS193" s="179"/>
      <c r="CT193" s="179"/>
      <c r="CU193" s="179"/>
      <c r="CV193" s="179"/>
      <c r="CW193" s="179"/>
      <c r="CX193" s="179"/>
      <c r="CY193" s="179"/>
      <c r="CZ193" s="179"/>
      <c r="DA193" s="179"/>
      <c r="DB193" s="179"/>
      <c r="DC193" s="179"/>
      <c r="DD193" s="179"/>
      <c r="DE193" s="179"/>
      <c r="DF193" s="179"/>
      <c r="DG193" s="179"/>
      <c r="DH193" s="179"/>
      <c r="DI193" s="179"/>
      <c r="DJ193" s="179"/>
      <c r="DK193" s="179"/>
      <c r="DL193" s="179"/>
      <c r="DM193" s="179"/>
      <c r="DN193" s="179"/>
      <c r="DO193" s="179"/>
      <c r="DP193" s="179"/>
      <c r="DQ193" s="179"/>
      <c r="DR193" s="179"/>
      <c r="DS193" s="179"/>
      <c r="DT193" s="179"/>
      <c r="DU193" s="179"/>
      <c r="DV193" s="179"/>
      <c r="DW193" s="179"/>
      <c r="DX193" s="179"/>
    </row>
    <row r="194" spans="9:128" ht="13.5">
      <c r="I194" s="169"/>
      <c r="J194" s="169"/>
      <c r="K194" s="169"/>
      <c r="M194" s="187"/>
      <c r="N194" s="188"/>
      <c r="O194" s="171"/>
      <c r="Q194" s="171"/>
      <c r="R194" s="171"/>
      <c r="S194" s="173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79"/>
      <c r="BU194" s="179"/>
      <c r="BV194" s="179"/>
      <c r="BW194" s="179"/>
      <c r="BX194" s="179"/>
      <c r="BY194" s="179"/>
      <c r="BZ194" s="179"/>
      <c r="CA194" s="179"/>
      <c r="CB194" s="179"/>
      <c r="CC194" s="179"/>
      <c r="CD194" s="179"/>
      <c r="CE194" s="179"/>
      <c r="CF194" s="179"/>
      <c r="CG194" s="179"/>
      <c r="CH194" s="179"/>
      <c r="CI194" s="179"/>
      <c r="CJ194" s="179"/>
      <c r="CK194" s="179"/>
      <c r="CL194" s="179"/>
      <c r="CM194" s="179"/>
      <c r="CN194" s="179"/>
      <c r="CO194" s="179"/>
      <c r="CP194" s="179"/>
      <c r="CQ194" s="179"/>
      <c r="CR194" s="179"/>
      <c r="CS194" s="179"/>
      <c r="CT194" s="179"/>
      <c r="CU194" s="179"/>
      <c r="CV194" s="179"/>
      <c r="CW194" s="179"/>
      <c r="CX194" s="179"/>
      <c r="CY194" s="179"/>
      <c r="CZ194" s="179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</row>
    <row r="195" spans="9:128" ht="13.5">
      <c r="I195" s="169"/>
      <c r="J195" s="169"/>
      <c r="K195" s="169"/>
      <c r="M195" s="187"/>
      <c r="N195" s="188"/>
      <c r="O195" s="171"/>
      <c r="Q195" s="171"/>
      <c r="R195" s="171"/>
      <c r="S195" s="173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79"/>
      <c r="BU195" s="179"/>
      <c r="BV195" s="179"/>
      <c r="BW195" s="179"/>
      <c r="BX195" s="179"/>
      <c r="BY195" s="179"/>
      <c r="BZ195" s="179"/>
      <c r="CA195" s="179"/>
      <c r="CB195" s="179"/>
      <c r="CC195" s="179"/>
      <c r="CD195" s="179"/>
      <c r="CE195" s="179"/>
      <c r="CF195" s="179"/>
      <c r="CG195" s="179"/>
      <c r="CH195" s="179"/>
      <c r="CI195" s="179"/>
      <c r="CJ195" s="179"/>
      <c r="CK195" s="179"/>
      <c r="CL195" s="179"/>
      <c r="CM195" s="179"/>
      <c r="CN195" s="179"/>
      <c r="CO195" s="179"/>
      <c r="CP195" s="179"/>
      <c r="CQ195" s="179"/>
      <c r="CR195" s="179"/>
      <c r="CS195" s="179"/>
      <c r="CT195" s="179"/>
      <c r="CU195" s="179"/>
      <c r="CV195" s="179"/>
      <c r="CW195" s="179"/>
      <c r="CX195" s="179"/>
      <c r="CY195" s="179"/>
      <c r="CZ195" s="179"/>
      <c r="DA195" s="179"/>
      <c r="DB195" s="179"/>
      <c r="DC195" s="179"/>
      <c r="DD195" s="179"/>
      <c r="DE195" s="179"/>
      <c r="DF195" s="179"/>
      <c r="DG195" s="179"/>
      <c r="DH195" s="179"/>
      <c r="DI195" s="179"/>
      <c r="DJ195" s="179"/>
      <c r="DK195" s="179"/>
      <c r="DL195" s="179"/>
      <c r="DM195" s="179"/>
      <c r="DN195" s="179"/>
      <c r="DO195" s="179"/>
      <c r="DP195" s="179"/>
      <c r="DQ195" s="179"/>
      <c r="DR195" s="179"/>
      <c r="DS195" s="179"/>
      <c r="DT195" s="179"/>
      <c r="DU195" s="179"/>
      <c r="DV195" s="179"/>
      <c r="DW195" s="179"/>
      <c r="DX195" s="179"/>
    </row>
    <row r="196" spans="1:130" s="191" customFormat="1" ht="13.5">
      <c r="A196" s="187"/>
      <c r="B196" s="167"/>
      <c r="C196" s="167"/>
      <c r="D196" s="167"/>
      <c r="E196" s="167"/>
      <c r="F196" s="167"/>
      <c r="G196" s="167"/>
      <c r="H196" s="167"/>
      <c r="I196" s="169"/>
      <c r="J196" s="169"/>
      <c r="K196" s="169"/>
      <c r="L196" s="169"/>
      <c r="M196" s="187"/>
      <c r="N196" s="188"/>
      <c r="O196" s="171"/>
      <c r="P196" s="172"/>
      <c r="Q196" s="171"/>
      <c r="R196" s="171"/>
      <c r="S196" s="173"/>
      <c r="T196" s="18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  <c r="BV196" s="179"/>
      <c r="BW196" s="179"/>
      <c r="BX196" s="179"/>
      <c r="BY196" s="179"/>
      <c r="BZ196" s="179"/>
      <c r="CA196" s="179"/>
      <c r="CB196" s="179"/>
      <c r="CC196" s="179"/>
      <c r="CD196" s="179"/>
      <c r="CE196" s="179"/>
      <c r="CF196" s="179"/>
      <c r="CG196" s="179"/>
      <c r="CH196" s="179"/>
      <c r="CI196" s="179"/>
      <c r="CJ196" s="179"/>
      <c r="CK196" s="179"/>
      <c r="CL196" s="179"/>
      <c r="CM196" s="179"/>
      <c r="CN196" s="179"/>
      <c r="CO196" s="179"/>
      <c r="CP196" s="179"/>
      <c r="CQ196" s="179"/>
      <c r="CR196" s="179"/>
      <c r="CS196" s="179"/>
      <c r="CT196" s="179"/>
      <c r="CU196" s="179"/>
      <c r="CV196" s="179"/>
      <c r="CW196" s="179"/>
      <c r="CX196" s="179"/>
      <c r="CY196" s="179"/>
      <c r="CZ196" s="179"/>
      <c r="DA196" s="179"/>
      <c r="DB196" s="179"/>
      <c r="DC196" s="179"/>
      <c r="DD196" s="179"/>
      <c r="DE196" s="179"/>
      <c r="DF196" s="179"/>
      <c r="DG196" s="179"/>
      <c r="DH196" s="179"/>
      <c r="DI196" s="179"/>
      <c r="DJ196" s="179"/>
      <c r="DK196" s="179"/>
      <c r="DL196" s="179"/>
      <c r="DM196" s="179"/>
      <c r="DN196" s="179"/>
      <c r="DO196" s="179"/>
      <c r="DP196" s="179"/>
      <c r="DQ196" s="179"/>
      <c r="DR196" s="179"/>
      <c r="DS196" s="179"/>
      <c r="DT196" s="179"/>
      <c r="DU196" s="179"/>
      <c r="DV196" s="179"/>
      <c r="DW196" s="179"/>
      <c r="DX196" s="179"/>
      <c r="DY196" s="190"/>
      <c r="DZ196" s="190"/>
    </row>
    <row r="197" spans="9:128" ht="13.5">
      <c r="I197" s="169"/>
      <c r="J197" s="169"/>
      <c r="K197" s="169"/>
      <c r="M197" s="187"/>
      <c r="N197" s="188"/>
      <c r="O197" s="171"/>
      <c r="Q197" s="171"/>
      <c r="R197" s="171"/>
      <c r="S197" s="173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BZ197" s="179"/>
      <c r="CA197" s="179"/>
      <c r="CB197" s="179"/>
      <c r="CC197" s="179"/>
      <c r="CD197" s="179"/>
      <c r="CE197" s="179"/>
      <c r="CF197" s="179"/>
      <c r="CG197" s="179"/>
      <c r="CH197" s="179"/>
      <c r="CI197" s="179"/>
      <c r="CJ197" s="179"/>
      <c r="CK197" s="179"/>
      <c r="CL197" s="179"/>
      <c r="CM197" s="179"/>
      <c r="CN197" s="179"/>
      <c r="CO197" s="179"/>
      <c r="CP197" s="179"/>
      <c r="CQ197" s="179"/>
      <c r="CR197" s="179"/>
      <c r="CS197" s="179"/>
      <c r="CT197" s="179"/>
      <c r="CU197" s="179"/>
      <c r="CV197" s="179"/>
      <c r="CW197" s="179"/>
      <c r="CX197" s="179"/>
      <c r="CY197" s="179"/>
      <c r="CZ197" s="179"/>
      <c r="DA197" s="179"/>
      <c r="DB197" s="179"/>
      <c r="DC197" s="179"/>
      <c r="DD197" s="179"/>
      <c r="DE197" s="179"/>
      <c r="DF197" s="179"/>
      <c r="DG197" s="179"/>
      <c r="DH197" s="179"/>
      <c r="DI197" s="179"/>
      <c r="DJ197" s="179"/>
      <c r="DK197" s="179"/>
      <c r="DL197" s="179"/>
      <c r="DM197" s="179"/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</row>
    <row r="198" spans="9:128" ht="13.5">
      <c r="I198" s="169"/>
      <c r="J198" s="169"/>
      <c r="K198" s="169"/>
      <c r="M198" s="187"/>
      <c r="N198" s="188"/>
      <c r="O198" s="171"/>
      <c r="Q198" s="171"/>
      <c r="R198" s="171"/>
      <c r="S198" s="173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  <c r="BZ198" s="179"/>
      <c r="CA198" s="179"/>
      <c r="CB198" s="179"/>
      <c r="CC198" s="179"/>
      <c r="CD198" s="179"/>
      <c r="CE198" s="179"/>
      <c r="CF198" s="179"/>
      <c r="CG198" s="179"/>
      <c r="CH198" s="179"/>
      <c r="CI198" s="179"/>
      <c r="CJ198" s="179"/>
      <c r="CK198" s="179"/>
      <c r="CL198" s="179"/>
      <c r="CM198" s="179"/>
      <c r="CN198" s="179"/>
      <c r="CO198" s="179"/>
      <c r="CP198" s="179"/>
      <c r="CQ198" s="179"/>
      <c r="CR198" s="179"/>
      <c r="CS198" s="179"/>
      <c r="CT198" s="179"/>
      <c r="CU198" s="179"/>
      <c r="CV198" s="179"/>
      <c r="CW198" s="179"/>
      <c r="CX198" s="179"/>
      <c r="CY198" s="179"/>
      <c r="CZ198" s="179"/>
      <c r="DA198" s="179"/>
      <c r="DB198" s="179"/>
      <c r="DC198" s="179"/>
      <c r="DD198" s="179"/>
      <c r="DE198" s="179"/>
      <c r="DF198" s="179"/>
      <c r="DG198" s="179"/>
      <c r="DH198" s="179"/>
      <c r="DI198" s="179"/>
      <c r="DJ198" s="179"/>
      <c r="DK198" s="179"/>
      <c r="DL198" s="179"/>
      <c r="DM198" s="179"/>
      <c r="DN198" s="179"/>
      <c r="DO198" s="179"/>
      <c r="DP198" s="179"/>
      <c r="DQ198" s="179"/>
      <c r="DR198" s="179"/>
      <c r="DS198" s="179"/>
      <c r="DT198" s="179"/>
      <c r="DU198" s="179"/>
      <c r="DV198" s="179"/>
      <c r="DW198" s="179"/>
      <c r="DX198" s="179"/>
    </row>
    <row r="199" spans="2:128" ht="13.5">
      <c r="B199" s="187"/>
      <c r="C199" s="187"/>
      <c r="D199" s="187"/>
      <c r="E199" s="187"/>
      <c r="F199" s="187"/>
      <c r="G199" s="187"/>
      <c r="H199" s="187"/>
      <c r="I199" s="199"/>
      <c r="J199" s="199"/>
      <c r="K199" s="199"/>
      <c r="L199" s="199"/>
      <c r="M199" s="187"/>
      <c r="N199" s="188"/>
      <c r="O199" s="171"/>
      <c r="Q199" s="171"/>
      <c r="R199" s="171"/>
      <c r="S199" s="173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79"/>
      <c r="BU199" s="179"/>
      <c r="BV199" s="179"/>
      <c r="BW199" s="179"/>
      <c r="BX199" s="179"/>
      <c r="BY199" s="179"/>
      <c r="BZ199" s="179"/>
      <c r="CA199" s="179"/>
      <c r="CB199" s="179"/>
      <c r="CC199" s="179"/>
      <c r="CD199" s="179"/>
      <c r="CE199" s="179"/>
      <c r="CF199" s="179"/>
      <c r="CG199" s="179"/>
      <c r="CH199" s="179"/>
      <c r="CI199" s="179"/>
      <c r="CJ199" s="179"/>
      <c r="CK199" s="179"/>
      <c r="CL199" s="179"/>
      <c r="CM199" s="179"/>
      <c r="CN199" s="179"/>
      <c r="CO199" s="179"/>
      <c r="CP199" s="179"/>
      <c r="CQ199" s="179"/>
      <c r="CR199" s="179"/>
      <c r="CS199" s="179"/>
      <c r="CT199" s="179"/>
      <c r="CU199" s="179"/>
      <c r="CV199" s="179"/>
      <c r="CW199" s="179"/>
      <c r="CX199" s="179"/>
      <c r="CY199" s="179"/>
      <c r="CZ199" s="179"/>
      <c r="DA199" s="179"/>
      <c r="DB199" s="179"/>
      <c r="DC199" s="179"/>
      <c r="DD199" s="179"/>
      <c r="DE199" s="179"/>
      <c r="DF199" s="179"/>
      <c r="DG199" s="179"/>
      <c r="DH199" s="179"/>
      <c r="DI199" s="179"/>
      <c r="DJ199" s="179"/>
      <c r="DK199" s="179"/>
      <c r="DL199" s="179"/>
      <c r="DM199" s="179"/>
      <c r="DN199" s="179"/>
      <c r="DO199" s="179"/>
      <c r="DP199" s="179"/>
      <c r="DQ199" s="179"/>
      <c r="DR199" s="179"/>
      <c r="DS199" s="179"/>
      <c r="DT199" s="179"/>
      <c r="DU199" s="179"/>
      <c r="DV199" s="179"/>
      <c r="DW199" s="179"/>
      <c r="DX199" s="179"/>
    </row>
    <row r="200" spans="9:128" ht="13.5">
      <c r="I200" s="169"/>
      <c r="J200" s="169"/>
      <c r="K200" s="169"/>
      <c r="M200" s="187"/>
      <c r="N200" s="188"/>
      <c r="O200" s="171"/>
      <c r="Q200" s="171"/>
      <c r="R200" s="171"/>
      <c r="S200" s="173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79"/>
      <c r="BZ200" s="179"/>
      <c r="CA200" s="179"/>
      <c r="CB200" s="179"/>
      <c r="CC200" s="179"/>
      <c r="CD200" s="179"/>
      <c r="CE200" s="179"/>
      <c r="CF200" s="179"/>
      <c r="CG200" s="179"/>
      <c r="CH200" s="179"/>
      <c r="CI200" s="179"/>
      <c r="CJ200" s="179"/>
      <c r="CK200" s="179"/>
      <c r="CL200" s="179"/>
      <c r="CM200" s="179"/>
      <c r="CN200" s="179"/>
      <c r="CO200" s="179"/>
      <c r="CP200" s="179"/>
      <c r="CQ200" s="179"/>
      <c r="CR200" s="179"/>
      <c r="CS200" s="179"/>
      <c r="CT200" s="179"/>
      <c r="CU200" s="179"/>
      <c r="CV200" s="179"/>
      <c r="CW200" s="179"/>
      <c r="CX200" s="179"/>
      <c r="CY200" s="179"/>
      <c r="CZ200" s="179"/>
      <c r="DA200" s="179"/>
      <c r="DB200" s="179"/>
      <c r="DC200" s="179"/>
      <c r="DD200" s="179"/>
      <c r="DE200" s="179"/>
      <c r="DF200" s="179"/>
      <c r="DG200" s="179"/>
      <c r="DH200" s="179"/>
      <c r="DI200" s="179"/>
      <c r="DJ200" s="179"/>
      <c r="DK200" s="179"/>
      <c r="DL200" s="179"/>
      <c r="DM200" s="179"/>
      <c r="DN200" s="179"/>
      <c r="DO200" s="179"/>
      <c r="DP200" s="179"/>
      <c r="DQ200" s="179"/>
      <c r="DR200" s="179"/>
      <c r="DS200" s="179"/>
      <c r="DT200" s="179"/>
      <c r="DU200" s="179"/>
      <c r="DV200" s="179"/>
      <c r="DW200" s="179"/>
      <c r="DX200" s="179"/>
    </row>
    <row r="201" spans="9:128" ht="13.5">
      <c r="I201" s="169"/>
      <c r="J201" s="169"/>
      <c r="K201" s="169"/>
      <c r="M201" s="187"/>
      <c r="N201" s="188"/>
      <c r="O201" s="171"/>
      <c r="Q201" s="171"/>
      <c r="R201" s="171"/>
      <c r="S201" s="173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79"/>
      <c r="BZ201" s="179"/>
      <c r="CA201" s="179"/>
      <c r="CB201" s="179"/>
      <c r="CC201" s="179"/>
      <c r="CD201" s="179"/>
      <c r="CE201" s="179"/>
      <c r="CF201" s="179"/>
      <c r="CG201" s="179"/>
      <c r="CH201" s="179"/>
      <c r="CI201" s="179"/>
      <c r="CJ201" s="179"/>
      <c r="CK201" s="179"/>
      <c r="CL201" s="179"/>
      <c r="CM201" s="179"/>
      <c r="CN201" s="179"/>
      <c r="CO201" s="179"/>
      <c r="CP201" s="179"/>
      <c r="CQ201" s="179"/>
      <c r="CR201" s="179"/>
      <c r="CS201" s="179"/>
      <c r="CT201" s="179"/>
      <c r="CU201" s="179"/>
      <c r="CV201" s="179"/>
      <c r="CW201" s="179"/>
      <c r="CX201" s="179"/>
      <c r="CY201" s="179"/>
      <c r="CZ201" s="179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</row>
    <row r="202" spans="1:130" s="191" customFormat="1" ht="13.5">
      <c r="A202" s="187"/>
      <c r="B202" s="167"/>
      <c r="C202" s="167"/>
      <c r="D202" s="167"/>
      <c r="E202" s="167"/>
      <c r="F202" s="167"/>
      <c r="G202" s="167"/>
      <c r="H202" s="167"/>
      <c r="I202" s="169"/>
      <c r="J202" s="169"/>
      <c r="K202" s="169"/>
      <c r="L202" s="169"/>
      <c r="M202" s="187"/>
      <c r="N202" s="188"/>
      <c r="O202" s="171"/>
      <c r="P202" s="172"/>
      <c r="Q202" s="171"/>
      <c r="R202" s="171"/>
      <c r="S202" s="173"/>
      <c r="T202" s="18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BZ202" s="179"/>
      <c r="CA202" s="179"/>
      <c r="CB202" s="179"/>
      <c r="CC202" s="179"/>
      <c r="CD202" s="179"/>
      <c r="CE202" s="179"/>
      <c r="CF202" s="179"/>
      <c r="CG202" s="179"/>
      <c r="CH202" s="179"/>
      <c r="CI202" s="179"/>
      <c r="CJ202" s="179"/>
      <c r="CK202" s="179"/>
      <c r="CL202" s="179"/>
      <c r="CM202" s="179"/>
      <c r="CN202" s="179"/>
      <c r="CO202" s="179"/>
      <c r="CP202" s="179"/>
      <c r="CQ202" s="179"/>
      <c r="CR202" s="179"/>
      <c r="CS202" s="179"/>
      <c r="CT202" s="179"/>
      <c r="CU202" s="179"/>
      <c r="CV202" s="179"/>
      <c r="CW202" s="179"/>
      <c r="CX202" s="179"/>
      <c r="CY202" s="179"/>
      <c r="CZ202" s="179"/>
      <c r="DA202" s="179"/>
      <c r="DB202" s="179"/>
      <c r="DC202" s="179"/>
      <c r="DD202" s="179"/>
      <c r="DE202" s="179"/>
      <c r="DF202" s="179"/>
      <c r="DG202" s="179"/>
      <c r="DH202" s="179"/>
      <c r="DI202" s="179"/>
      <c r="DJ202" s="179"/>
      <c r="DK202" s="179"/>
      <c r="DL202" s="179"/>
      <c r="DM202" s="179"/>
      <c r="DN202" s="179"/>
      <c r="DO202" s="179"/>
      <c r="DP202" s="179"/>
      <c r="DQ202" s="179"/>
      <c r="DR202" s="179"/>
      <c r="DS202" s="179"/>
      <c r="DT202" s="179"/>
      <c r="DU202" s="179"/>
      <c r="DV202" s="179"/>
      <c r="DW202" s="179"/>
      <c r="DX202" s="179"/>
      <c r="DY202" s="190"/>
      <c r="DZ202" s="190"/>
    </row>
    <row r="203" spans="9:128" ht="13.5">
      <c r="I203" s="169"/>
      <c r="J203" s="169"/>
      <c r="K203" s="169"/>
      <c r="M203" s="187"/>
      <c r="N203" s="188"/>
      <c r="O203" s="171"/>
      <c r="Q203" s="171"/>
      <c r="R203" s="171"/>
      <c r="S203" s="173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79"/>
      <c r="BZ203" s="179"/>
      <c r="CA203" s="179"/>
      <c r="CB203" s="179"/>
      <c r="CC203" s="179"/>
      <c r="CD203" s="179"/>
      <c r="CE203" s="179"/>
      <c r="CF203" s="179"/>
      <c r="CG203" s="179"/>
      <c r="CH203" s="179"/>
      <c r="CI203" s="179"/>
      <c r="CJ203" s="179"/>
      <c r="CK203" s="179"/>
      <c r="CL203" s="179"/>
      <c r="CM203" s="179"/>
      <c r="CN203" s="179"/>
      <c r="CO203" s="179"/>
      <c r="CP203" s="179"/>
      <c r="CQ203" s="179"/>
      <c r="CR203" s="179"/>
      <c r="CS203" s="179"/>
      <c r="CT203" s="179"/>
      <c r="CU203" s="179"/>
      <c r="CV203" s="179"/>
      <c r="CW203" s="179"/>
      <c r="CX203" s="179"/>
      <c r="CY203" s="179"/>
      <c r="CZ203" s="179"/>
      <c r="DA203" s="179"/>
      <c r="DB203" s="179"/>
      <c r="DC203" s="179"/>
      <c r="DD203" s="179"/>
      <c r="DE203" s="179"/>
      <c r="DF203" s="179"/>
      <c r="DG203" s="179"/>
      <c r="DH203" s="179"/>
      <c r="DI203" s="179"/>
      <c r="DJ203" s="179"/>
      <c r="DK203" s="179"/>
      <c r="DL203" s="179"/>
      <c r="DM203" s="179"/>
      <c r="DN203" s="179"/>
      <c r="DO203" s="179"/>
      <c r="DP203" s="179"/>
      <c r="DQ203" s="179"/>
      <c r="DR203" s="179"/>
      <c r="DS203" s="179"/>
      <c r="DT203" s="179"/>
      <c r="DU203" s="179"/>
      <c r="DV203" s="179"/>
      <c r="DW203" s="179"/>
      <c r="DX203" s="179"/>
    </row>
    <row r="204" spans="9:128" ht="13.5">
      <c r="I204" s="169"/>
      <c r="J204" s="169"/>
      <c r="K204" s="169"/>
      <c r="M204" s="187"/>
      <c r="N204" s="188"/>
      <c r="O204" s="171"/>
      <c r="Q204" s="171"/>
      <c r="R204" s="171"/>
      <c r="S204" s="173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BZ204" s="179"/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79"/>
      <c r="CM204" s="179"/>
      <c r="CN204" s="179"/>
      <c r="CO204" s="179"/>
      <c r="CP204" s="179"/>
      <c r="CQ204" s="179"/>
      <c r="CR204" s="179"/>
      <c r="CS204" s="179"/>
      <c r="CT204" s="179"/>
      <c r="CU204" s="179"/>
      <c r="CV204" s="179"/>
      <c r="CW204" s="179"/>
      <c r="CX204" s="179"/>
      <c r="CY204" s="179"/>
      <c r="CZ204" s="179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</row>
    <row r="205" spans="2:128" ht="13.5">
      <c r="B205" s="187"/>
      <c r="C205" s="187"/>
      <c r="D205" s="187"/>
      <c r="E205" s="187"/>
      <c r="F205" s="187"/>
      <c r="G205" s="187"/>
      <c r="H205" s="187"/>
      <c r="I205" s="199"/>
      <c r="J205" s="199"/>
      <c r="K205" s="199"/>
      <c r="L205" s="199"/>
      <c r="M205" s="187"/>
      <c r="N205" s="188"/>
      <c r="O205" s="171"/>
      <c r="Q205" s="171"/>
      <c r="R205" s="171"/>
      <c r="S205" s="173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79"/>
      <c r="BN205" s="179"/>
      <c r="BO205" s="179"/>
      <c r="BP205" s="179"/>
      <c r="BQ205" s="179"/>
      <c r="BR205" s="179"/>
      <c r="BS205" s="179"/>
      <c r="BT205" s="179"/>
      <c r="BU205" s="179"/>
      <c r="BV205" s="179"/>
      <c r="BW205" s="179"/>
      <c r="BX205" s="179"/>
      <c r="BY205" s="179"/>
      <c r="BZ205" s="179"/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79"/>
      <c r="CM205" s="179"/>
      <c r="CN205" s="179"/>
      <c r="CO205" s="179"/>
      <c r="CP205" s="179"/>
      <c r="CQ205" s="179"/>
      <c r="CR205" s="179"/>
      <c r="CS205" s="179"/>
      <c r="CT205" s="179"/>
      <c r="CU205" s="179"/>
      <c r="CV205" s="179"/>
      <c r="CW205" s="179"/>
      <c r="CX205" s="179"/>
      <c r="CY205" s="179"/>
      <c r="CZ205" s="179"/>
      <c r="DA205" s="179"/>
      <c r="DB205" s="179"/>
      <c r="DC205" s="179"/>
      <c r="DD205" s="179"/>
      <c r="DE205" s="179"/>
      <c r="DF205" s="179"/>
      <c r="DG205" s="179"/>
      <c r="DH205" s="179"/>
      <c r="DI205" s="179"/>
      <c r="DJ205" s="179"/>
      <c r="DK205" s="179"/>
      <c r="DL205" s="179"/>
      <c r="DM205" s="179"/>
      <c r="DN205" s="179"/>
      <c r="DO205" s="179"/>
      <c r="DP205" s="179"/>
      <c r="DQ205" s="179"/>
      <c r="DR205" s="179"/>
      <c r="DS205" s="179"/>
      <c r="DT205" s="179"/>
      <c r="DU205" s="179"/>
      <c r="DV205" s="179"/>
      <c r="DW205" s="179"/>
      <c r="DX205" s="179"/>
    </row>
    <row r="206" spans="1:130" s="191" customFormat="1" ht="13.5">
      <c r="A206" s="187"/>
      <c r="B206" s="167"/>
      <c r="C206" s="167"/>
      <c r="D206" s="167"/>
      <c r="E206" s="167"/>
      <c r="F206" s="167"/>
      <c r="G206" s="167"/>
      <c r="H206" s="167"/>
      <c r="I206" s="169"/>
      <c r="J206" s="169"/>
      <c r="K206" s="169"/>
      <c r="L206" s="169"/>
      <c r="M206" s="187"/>
      <c r="N206" s="188"/>
      <c r="O206" s="171"/>
      <c r="P206" s="172"/>
      <c r="Q206" s="171"/>
      <c r="R206" s="171"/>
      <c r="S206" s="173"/>
      <c r="T206" s="18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BZ206" s="179"/>
      <c r="CA206" s="179"/>
      <c r="CB206" s="179"/>
      <c r="CC206" s="179"/>
      <c r="CD206" s="179"/>
      <c r="CE206" s="179"/>
      <c r="CF206" s="179"/>
      <c r="CG206" s="179"/>
      <c r="CH206" s="179"/>
      <c r="CI206" s="179"/>
      <c r="CJ206" s="179"/>
      <c r="CK206" s="179"/>
      <c r="CL206" s="179"/>
      <c r="CM206" s="179"/>
      <c r="CN206" s="179"/>
      <c r="CO206" s="179"/>
      <c r="CP206" s="179"/>
      <c r="CQ206" s="179"/>
      <c r="CR206" s="179"/>
      <c r="CS206" s="179"/>
      <c r="CT206" s="179"/>
      <c r="CU206" s="179"/>
      <c r="CV206" s="179"/>
      <c r="CW206" s="179"/>
      <c r="CX206" s="179"/>
      <c r="CY206" s="179"/>
      <c r="CZ206" s="179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  <c r="DU206" s="179"/>
      <c r="DV206" s="179"/>
      <c r="DW206" s="179"/>
      <c r="DX206" s="179"/>
      <c r="DY206" s="190"/>
      <c r="DZ206" s="190"/>
    </row>
    <row r="207" spans="9:128" ht="13.5">
      <c r="I207" s="169"/>
      <c r="J207" s="169"/>
      <c r="K207" s="169"/>
      <c r="M207" s="187"/>
      <c r="N207" s="188"/>
      <c r="O207" s="171"/>
      <c r="Q207" s="171"/>
      <c r="R207" s="171"/>
      <c r="S207" s="173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BZ207" s="179"/>
      <c r="CA207" s="179"/>
      <c r="CB207" s="179"/>
      <c r="CC207" s="179"/>
      <c r="CD207" s="179"/>
      <c r="CE207" s="179"/>
      <c r="CF207" s="179"/>
      <c r="CG207" s="179"/>
      <c r="CH207" s="179"/>
      <c r="CI207" s="179"/>
      <c r="CJ207" s="179"/>
      <c r="CK207" s="179"/>
      <c r="CL207" s="179"/>
      <c r="CM207" s="179"/>
      <c r="CN207" s="179"/>
      <c r="CO207" s="179"/>
      <c r="CP207" s="179"/>
      <c r="CQ207" s="179"/>
      <c r="CR207" s="179"/>
      <c r="CS207" s="179"/>
      <c r="CT207" s="179"/>
      <c r="CU207" s="179"/>
      <c r="CV207" s="179"/>
      <c r="CW207" s="179"/>
      <c r="CX207" s="179"/>
      <c r="CY207" s="179"/>
      <c r="CZ207" s="179"/>
      <c r="DA207" s="179"/>
      <c r="DB207" s="179"/>
      <c r="DC207" s="179"/>
      <c r="DD207" s="179"/>
      <c r="DE207" s="179"/>
      <c r="DF207" s="179"/>
      <c r="DG207" s="179"/>
      <c r="DH207" s="179"/>
      <c r="DI207" s="179"/>
      <c r="DJ207" s="179"/>
      <c r="DK207" s="179"/>
      <c r="DL207" s="179"/>
      <c r="DM207" s="179"/>
      <c r="DN207" s="179"/>
      <c r="DO207" s="179"/>
      <c r="DP207" s="179"/>
      <c r="DQ207" s="179"/>
      <c r="DR207" s="179"/>
      <c r="DS207" s="179"/>
      <c r="DT207" s="179"/>
      <c r="DU207" s="179"/>
      <c r="DV207" s="179"/>
      <c r="DW207" s="179"/>
      <c r="DX207" s="179"/>
    </row>
    <row r="208" spans="9:128" ht="13.5">
      <c r="I208" s="169"/>
      <c r="J208" s="169"/>
      <c r="K208" s="169"/>
      <c r="M208" s="187"/>
      <c r="N208" s="188"/>
      <c r="O208" s="171"/>
      <c r="Q208" s="171"/>
      <c r="R208" s="171"/>
      <c r="S208" s="173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BZ208" s="179"/>
      <c r="CA208" s="179"/>
      <c r="CB208" s="179"/>
      <c r="CC208" s="179"/>
      <c r="CD208" s="179"/>
      <c r="CE208" s="179"/>
      <c r="CF208" s="179"/>
      <c r="CG208" s="179"/>
      <c r="CH208" s="179"/>
      <c r="CI208" s="179"/>
      <c r="CJ208" s="179"/>
      <c r="CK208" s="179"/>
      <c r="CL208" s="179"/>
      <c r="CM208" s="179"/>
      <c r="CN208" s="179"/>
      <c r="CO208" s="179"/>
      <c r="CP208" s="179"/>
      <c r="CQ208" s="179"/>
      <c r="CR208" s="179"/>
      <c r="CS208" s="179"/>
      <c r="CT208" s="179"/>
      <c r="CU208" s="179"/>
      <c r="CV208" s="179"/>
      <c r="CW208" s="179"/>
      <c r="CX208" s="179"/>
      <c r="CY208" s="179"/>
      <c r="CZ208" s="179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  <c r="DU208" s="179"/>
      <c r="DV208" s="179"/>
      <c r="DW208" s="179"/>
      <c r="DX208" s="179"/>
    </row>
    <row r="209" spans="2:128" ht="13.5">
      <c r="B209" s="187"/>
      <c r="C209" s="187"/>
      <c r="D209" s="187"/>
      <c r="E209" s="187"/>
      <c r="F209" s="187"/>
      <c r="G209" s="187"/>
      <c r="H209" s="187"/>
      <c r="I209" s="199"/>
      <c r="J209" s="199"/>
      <c r="K209" s="199"/>
      <c r="L209" s="199"/>
      <c r="M209" s="187"/>
      <c r="N209" s="188"/>
      <c r="O209" s="171"/>
      <c r="Q209" s="171"/>
      <c r="R209" s="171"/>
      <c r="S209" s="173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BZ209" s="179"/>
      <c r="CA209" s="179"/>
      <c r="CB209" s="179"/>
      <c r="CC209" s="179"/>
      <c r="CD209" s="179"/>
      <c r="CE209" s="179"/>
      <c r="CF209" s="179"/>
      <c r="CG209" s="179"/>
      <c r="CH209" s="179"/>
      <c r="CI209" s="179"/>
      <c r="CJ209" s="179"/>
      <c r="CK209" s="179"/>
      <c r="CL209" s="179"/>
      <c r="CM209" s="179"/>
      <c r="CN209" s="179"/>
      <c r="CO209" s="179"/>
      <c r="CP209" s="179"/>
      <c r="CQ209" s="179"/>
      <c r="CR209" s="179"/>
      <c r="CS209" s="179"/>
      <c r="CT209" s="179"/>
      <c r="CU209" s="179"/>
      <c r="CV209" s="179"/>
      <c r="CW209" s="179"/>
      <c r="CX209" s="179"/>
      <c r="CY209" s="179"/>
      <c r="CZ209" s="179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  <c r="DU209" s="179"/>
      <c r="DV209" s="179"/>
      <c r="DW209" s="179"/>
      <c r="DX209" s="179"/>
    </row>
    <row r="210" spans="9:128" ht="13.5">
      <c r="I210" s="169"/>
      <c r="J210" s="169"/>
      <c r="K210" s="169"/>
      <c r="M210" s="187"/>
      <c r="N210" s="188"/>
      <c r="O210" s="171"/>
      <c r="Q210" s="171"/>
      <c r="R210" s="171"/>
      <c r="S210" s="173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79"/>
      <c r="BN210" s="179"/>
      <c r="BO210" s="179"/>
      <c r="BP210" s="179"/>
      <c r="BQ210" s="179"/>
      <c r="BR210" s="179"/>
      <c r="BS210" s="179"/>
      <c r="BT210" s="179"/>
      <c r="BU210" s="179"/>
      <c r="BV210" s="179"/>
      <c r="BW210" s="179"/>
      <c r="BX210" s="179"/>
      <c r="BY210" s="179"/>
      <c r="BZ210" s="179"/>
      <c r="CA210" s="179"/>
      <c r="CB210" s="179"/>
      <c r="CC210" s="179"/>
      <c r="CD210" s="179"/>
      <c r="CE210" s="179"/>
      <c r="CF210" s="179"/>
      <c r="CG210" s="179"/>
      <c r="CH210" s="179"/>
      <c r="CI210" s="179"/>
      <c r="CJ210" s="179"/>
      <c r="CK210" s="179"/>
      <c r="CL210" s="179"/>
      <c r="CM210" s="179"/>
      <c r="CN210" s="179"/>
      <c r="CO210" s="179"/>
      <c r="CP210" s="179"/>
      <c r="CQ210" s="179"/>
      <c r="CR210" s="179"/>
      <c r="CS210" s="179"/>
      <c r="CT210" s="179"/>
      <c r="CU210" s="179"/>
      <c r="CV210" s="179"/>
      <c r="CW210" s="179"/>
      <c r="CX210" s="179"/>
      <c r="CY210" s="179"/>
      <c r="CZ210" s="179"/>
      <c r="DA210" s="179"/>
      <c r="DB210" s="179"/>
      <c r="DC210" s="179"/>
      <c r="DD210" s="179"/>
      <c r="DE210" s="179"/>
      <c r="DF210" s="179"/>
      <c r="DG210" s="179"/>
      <c r="DH210" s="179"/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/>
      <c r="DS210" s="179"/>
      <c r="DT210" s="179"/>
      <c r="DU210" s="179"/>
      <c r="DV210" s="179"/>
      <c r="DW210" s="179"/>
      <c r="DX210" s="179"/>
    </row>
    <row r="211" spans="9:128" ht="13.5">
      <c r="I211" s="169"/>
      <c r="J211" s="169"/>
      <c r="K211" s="169"/>
      <c r="M211" s="187"/>
      <c r="N211" s="188"/>
      <c r="O211" s="171"/>
      <c r="Q211" s="171"/>
      <c r="R211" s="171"/>
      <c r="S211" s="173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179"/>
      <c r="BM211" s="179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179"/>
      <c r="BZ211" s="179"/>
      <c r="CA211" s="179"/>
      <c r="CB211" s="179"/>
      <c r="CC211" s="179"/>
      <c r="CD211" s="179"/>
      <c r="CE211" s="179"/>
      <c r="CF211" s="179"/>
      <c r="CG211" s="179"/>
      <c r="CH211" s="179"/>
      <c r="CI211" s="179"/>
      <c r="CJ211" s="179"/>
      <c r="CK211" s="179"/>
      <c r="CL211" s="179"/>
      <c r="CM211" s="179"/>
      <c r="CN211" s="179"/>
      <c r="CO211" s="179"/>
      <c r="CP211" s="179"/>
      <c r="CQ211" s="179"/>
      <c r="CR211" s="179"/>
      <c r="CS211" s="179"/>
      <c r="CT211" s="179"/>
      <c r="CU211" s="179"/>
      <c r="CV211" s="179"/>
      <c r="CW211" s="179"/>
      <c r="CX211" s="179"/>
      <c r="CY211" s="179"/>
      <c r="CZ211" s="179"/>
      <c r="DA211" s="179"/>
      <c r="DB211" s="179"/>
      <c r="DC211" s="179"/>
      <c r="DD211" s="179"/>
      <c r="DE211" s="179"/>
      <c r="DF211" s="179"/>
      <c r="DG211" s="179"/>
      <c r="DH211" s="179"/>
      <c r="DI211" s="179"/>
      <c r="DJ211" s="179"/>
      <c r="DK211" s="179"/>
      <c r="DL211" s="179"/>
      <c r="DM211" s="179"/>
      <c r="DN211" s="179"/>
      <c r="DO211" s="179"/>
      <c r="DP211" s="179"/>
      <c r="DQ211" s="179"/>
      <c r="DR211" s="179"/>
      <c r="DS211" s="179"/>
      <c r="DT211" s="179"/>
      <c r="DU211" s="179"/>
      <c r="DV211" s="179"/>
      <c r="DW211" s="179"/>
      <c r="DX211" s="179"/>
    </row>
    <row r="212" spans="9:128" ht="13.5">
      <c r="I212" s="169"/>
      <c r="J212" s="169"/>
      <c r="K212" s="169"/>
      <c r="M212" s="187"/>
      <c r="N212" s="188"/>
      <c r="O212" s="171"/>
      <c r="Q212" s="171"/>
      <c r="R212" s="171"/>
      <c r="S212" s="173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79"/>
      <c r="BN212" s="179"/>
      <c r="BO212" s="179"/>
      <c r="BP212" s="179"/>
      <c r="BQ212" s="179"/>
      <c r="BR212" s="179"/>
      <c r="BS212" s="179"/>
      <c r="BT212" s="179"/>
      <c r="BU212" s="179"/>
      <c r="BV212" s="179"/>
      <c r="BW212" s="179"/>
      <c r="BX212" s="179"/>
      <c r="BY212" s="179"/>
      <c r="BZ212" s="179"/>
      <c r="CA212" s="179"/>
      <c r="CB212" s="179"/>
      <c r="CC212" s="179"/>
      <c r="CD212" s="179"/>
      <c r="CE212" s="179"/>
      <c r="CF212" s="179"/>
      <c r="CG212" s="179"/>
      <c r="CH212" s="179"/>
      <c r="CI212" s="179"/>
      <c r="CJ212" s="179"/>
      <c r="CK212" s="179"/>
      <c r="CL212" s="179"/>
      <c r="CM212" s="179"/>
      <c r="CN212" s="179"/>
      <c r="CO212" s="179"/>
      <c r="CP212" s="179"/>
      <c r="CQ212" s="179"/>
      <c r="CR212" s="179"/>
      <c r="CS212" s="179"/>
      <c r="CT212" s="179"/>
      <c r="CU212" s="179"/>
      <c r="CV212" s="179"/>
      <c r="CW212" s="179"/>
      <c r="CX212" s="179"/>
      <c r="CY212" s="179"/>
      <c r="CZ212" s="179"/>
      <c r="DA212" s="179"/>
      <c r="DB212" s="179"/>
      <c r="DC212" s="179"/>
      <c r="DD212" s="179"/>
      <c r="DE212" s="179"/>
      <c r="DF212" s="179"/>
      <c r="DG212" s="179"/>
      <c r="DH212" s="179"/>
      <c r="DI212" s="179"/>
      <c r="DJ212" s="179"/>
      <c r="DK212" s="179"/>
      <c r="DL212" s="179"/>
      <c r="DM212" s="179"/>
      <c r="DN212" s="179"/>
      <c r="DO212" s="179"/>
      <c r="DP212" s="179"/>
      <c r="DQ212" s="179"/>
      <c r="DR212" s="179"/>
      <c r="DS212" s="179"/>
      <c r="DT212" s="179"/>
      <c r="DU212" s="179"/>
      <c r="DV212" s="179"/>
      <c r="DW212" s="179"/>
      <c r="DX212" s="179"/>
    </row>
    <row r="213" spans="1:130" s="191" customFormat="1" ht="13.5">
      <c r="A213" s="187"/>
      <c r="B213" s="167"/>
      <c r="C213" s="167"/>
      <c r="D213" s="167"/>
      <c r="E213" s="167"/>
      <c r="F213" s="167"/>
      <c r="G213" s="167"/>
      <c r="H213" s="167"/>
      <c r="I213" s="169"/>
      <c r="J213" s="169"/>
      <c r="K213" s="169"/>
      <c r="L213" s="169"/>
      <c r="M213" s="187"/>
      <c r="N213" s="188"/>
      <c r="O213" s="171"/>
      <c r="P213" s="172"/>
      <c r="Q213" s="171"/>
      <c r="R213" s="171"/>
      <c r="S213" s="173"/>
      <c r="T213" s="18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  <c r="BD213" s="179"/>
      <c r="BE213" s="179"/>
      <c r="BF213" s="179"/>
      <c r="BG213" s="179"/>
      <c r="BH213" s="179"/>
      <c r="BI213" s="179"/>
      <c r="BJ213" s="179"/>
      <c r="BK213" s="179"/>
      <c r="BL213" s="179"/>
      <c r="BM213" s="179"/>
      <c r="BN213" s="179"/>
      <c r="BO213" s="179"/>
      <c r="BP213" s="179"/>
      <c r="BQ213" s="179"/>
      <c r="BR213" s="179"/>
      <c r="BS213" s="179"/>
      <c r="BT213" s="179"/>
      <c r="BU213" s="179"/>
      <c r="BV213" s="179"/>
      <c r="BW213" s="179"/>
      <c r="BX213" s="179"/>
      <c r="BY213" s="179"/>
      <c r="BZ213" s="179"/>
      <c r="CA213" s="179"/>
      <c r="CB213" s="179"/>
      <c r="CC213" s="179"/>
      <c r="CD213" s="179"/>
      <c r="CE213" s="179"/>
      <c r="CF213" s="179"/>
      <c r="CG213" s="179"/>
      <c r="CH213" s="179"/>
      <c r="CI213" s="179"/>
      <c r="CJ213" s="179"/>
      <c r="CK213" s="179"/>
      <c r="CL213" s="179"/>
      <c r="CM213" s="179"/>
      <c r="CN213" s="179"/>
      <c r="CO213" s="179"/>
      <c r="CP213" s="179"/>
      <c r="CQ213" s="179"/>
      <c r="CR213" s="179"/>
      <c r="CS213" s="179"/>
      <c r="CT213" s="179"/>
      <c r="CU213" s="179"/>
      <c r="CV213" s="179"/>
      <c r="CW213" s="179"/>
      <c r="CX213" s="179"/>
      <c r="CY213" s="179"/>
      <c r="CZ213" s="179"/>
      <c r="DA213" s="179"/>
      <c r="DB213" s="179"/>
      <c r="DC213" s="179"/>
      <c r="DD213" s="179"/>
      <c r="DE213" s="179"/>
      <c r="DF213" s="179"/>
      <c r="DG213" s="179"/>
      <c r="DH213" s="179"/>
      <c r="DI213" s="179"/>
      <c r="DJ213" s="179"/>
      <c r="DK213" s="179"/>
      <c r="DL213" s="179"/>
      <c r="DM213" s="179"/>
      <c r="DN213" s="179"/>
      <c r="DO213" s="179"/>
      <c r="DP213" s="179"/>
      <c r="DQ213" s="179"/>
      <c r="DR213" s="179"/>
      <c r="DS213" s="179"/>
      <c r="DT213" s="179"/>
      <c r="DU213" s="179"/>
      <c r="DV213" s="179"/>
      <c r="DW213" s="179"/>
      <c r="DX213" s="179"/>
      <c r="DY213" s="190"/>
      <c r="DZ213" s="190"/>
    </row>
    <row r="214" spans="9:128" ht="13.5">
      <c r="I214" s="169"/>
      <c r="J214" s="169"/>
      <c r="K214" s="169"/>
      <c r="M214" s="187"/>
      <c r="N214" s="188"/>
      <c r="O214" s="171"/>
      <c r="Q214" s="171"/>
      <c r="R214" s="171"/>
      <c r="S214" s="173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79"/>
      <c r="BN214" s="179"/>
      <c r="BO214" s="179"/>
      <c r="BP214" s="179"/>
      <c r="BQ214" s="179"/>
      <c r="BR214" s="179"/>
      <c r="BS214" s="179"/>
      <c r="BT214" s="179"/>
      <c r="BU214" s="179"/>
      <c r="BV214" s="179"/>
      <c r="BW214" s="179"/>
      <c r="BX214" s="179"/>
      <c r="BY214" s="179"/>
      <c r="BZ214" s="179"/>
      <c r="CA214" s="179"/>
      <c r="CB214" s="179"/>
      <c r="CC214" s="179"/>
      <c r="CD214" s="179"/>
      <c r="CE214" s="179"/>
      <c r="CF214" s="179"/>
      <c r="CG214" s="179"/>
      <c r="CH214" s="179"/>
      <c r="CI214" s="179"/>
      <c r="CJ214" s="179"/>
      <c r="CK214" s="179"/>
      <c r="CL214" s="179"/>
      <c r="CM214" s="179"/>
      <c r="CN214" s="179"/>
      <c r="CO214" s="179"/>
      <c r="CP214" s="179"/>
      <c r="CQ214" s="179"/>
      <c r="CR214" s="179"/>
      <c r="CS214" s="179"/>
      <c r="CT214" s="179"/>
      <c r="CU214" s="179"/>
      <c r="CV214" s="179"/>
      <c r="CW214" s="179"/>
      <c r="CX214" s="179"/>
      <c r="CY214" s="179"/>
      <c r="CZ214" s="179"/>
      <c r="DA214" s="179"/>
      <c r="DB214" s="179"/>
      <c r="DC214" s="179"/>
      <c r="DD214" s="179"/>
      <c r="DE214" s="179"/>
      <c r="DF214" s="179"/>
      <c r="DG214" s="179"/>
      <c r="DH214" s="179"/>
      <c r="DI214" s="179"/>
      <c r="DJ214" s="179"/>
      <c r="DK214" s="179"/>
      <c r="DL214" s="179"/>
      <c r="DM214" s="179"/>
      <c r="DN214" s="179"/>
      <c r="DO214" s="179"/>
      <c r="DP214" s="179"/>
      <c r="DQ214" s="179"/>
      <c r="DR214" s="179"/>
      <c r="DS214" s="179"/>
      <c r="DT214" s="179"/>
      <c r="DU214" s="179"/>
      <c r="DV214" s="179"/>
      <c r="DW214" s="179"/>
      <c r="DX214" s="179"/>
    </row>
    <row r="215" spans="9:128" ht="13.5">
      <c r="I215" s="169"/>
      <c r="J215" s="169"/>
      <c r="K215" s="169"/>
      <c r="M215" s="187"/>
      <c r="N215" s="188"/>
      <c r="O215" s="171"/>
      <c r="Q215" s="171"/>
      <c r="R215" s="171"/>
      <c r="S215" s="173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79"/>
      <c r="BN215" s="179"/>
      <c r="BO215" s="179"/>
      <c r="BP215" s="179"/>
      <c r="BQ215" s="179"/>
      <c r="BR215" s="179"/>
      <c r="BS215" s="179"/>
      <c r="BT215" s="179"/>
      <c r="BU215" s="179"/>
      <c r="BV215" s="179"/>
      <c r="BW215" s="179"/>
      <c r="BX215" s="179"/>
      <c r="BY215" s="179"/>
      <c r="BZ215" s="179"/>
      <c r="CA215" s="179"/>
      <c r="CB215" s="179"/>
      <c r="CC215" s="179"/>
      <c r="CD215" s="179"/>
      <c r="CE215" s="179"/>
      <c r="CF215" s="179"/>
      <c r="CG215" s="179"/>
      <c r="CH215" s="179"/>
      <c r="CI215" s="179"/>
      <c r="CJ215" s="179"/>
      <c r="CK215" s="179"/>
      <c r="CL215" s="179"/>
      <c r="CM215" s="179"/>
      <c r="CN215" s="179"/>
      <c r="CO215" s="179"/>
      <c r="CP215" s="179"/>
      <c r="CQ215" s="179"/>
      <c r="CR215" s="179"/>
      <c r="CS215" s="179"/>
      <c r="CT215" s="179"/>
      <c r="CU215" s="179"/>
      <c r="CV215" s="179"/>
      <c r="CW215" s="179"/>
      <c r="CX215" s="179"/>
      <c r="CY215" s="179"/>
      <c r="CZ215" s="179"/>
      <c r="DA215" s="179"/>
      <c r="DB215" s="179"/>
      <c r="DC215" s="179"/>
      <c r="DD215" s="179"/>
      <c r="DE215" s="179"/>
      <c r="DF215" s="179"/>
      <c r="DG215" s="179"/>
      <c r="DH215" s="179"/>
      <c r="DI215" s="179"/>
      <c r="DJ215" s="179"/>
      <c r="DK215" s="179"/>
      <c r="DL215" s="179"/>
      <c r="DM215" s="179"/>
      <c r="DN215" s="179"/>
      <c r="DO215" s="179"/>
      <c r="DP215" s="179"/>
      <c r="DQ215" s="179"/>
      <c r="DR215" s="179"/>
      <c r="DS215" s="179"/>
      <c r="DT215" s="179"/>
      <c r="DU215" s="179"/>
      <c r="DV215" s="179"/>
      <c r="DW215" s="179"/>
      <c r="DX215" s="179"/>
    </row>
    <row r="216" spans="1:130" s="191" customFormat="1" ht="13.5">
      <c r="A216" s="187"/>
      <c r="B216" s="187"/>
      <c r="C216" s="187"/>
      <c r="D216" s="187"/>
      <c r="E216" s="187"/>
      <c r="F216" s="187"/>
      <c r="G216" s="187"/>
      <c r="H216" s="187"/>
      <c r="I216" s="199"/>
      <c r="J216" s="199"/>
      <c r="K216" s="199"/>
      <c r="L216" s="199"/>
      <c r="M216" s="187"/>
      <c r="N216" s="188"/>
      <c r="O216" s="171"/>
      <c r="P216" s="172"/>
      <c r="Q216" s="171"/>
      <c r="R216" s="171"/>
      <c r="S216" s="173"/>
      <c r="T216" s="18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  <c r="BJ216" s="179"/>
      <c r="BK216" s="179"/>
      <c r="BL216" s="179"/>
      <c r="BM216" s="179"/>
      <c r="BN216" s="179"/>
      <c r="BO216" s="179"/>
      <c r="BP216" s="179"/>
      <c r="BQ216" s="179"/>
      <c r="BR216" s="179"/>
      <c r="BS216" s="179"/>
      <c r="BT216" s="179"/>
      <c r="BU216" s="179"/>
      <c r="BV216" s="179"/>
      <c r="BW216" s="179"/>
      <c r="BX216" s="179"/>
      <c r="BY216" s="179"/>
      <c r="BZ216" s="179"/>
      <c r="CA216" s="179"/>
      <c r="CB216" s="179"/>
      <c r="CC216" s="179"/>
      <c r="CD216" s="179"/>
      <c r="CE216" s="179"/>
      <c r="CF216" s="179"/>
      <c r="CG216" s="179"/>
      <c r="CH216" s="179"/>
      <c r="CI216" s="179"/>
      <c r="CJ216" s="179"/>
      <c r="CK216" s="179"/>
      <c r="CL216" s="179"/>
      <c r="CM216" s="179"/>
      <c r="CN216" s="179"/>
      <c r="CO216" s="179"/>
      <c r="CP216" s="179"/>
      <c r="CQ216" s="179"/>
      <c r="CR216" s="179"/>
      <c r="CS216" s="179"/>
      <c r="CT216" s="179"/>
      <c r="CU216" s="179"/>
      <c r="CV216" s="179"/>
      <c r="CW216" s="179"/>
      <c r="CX216" s="179"/>
      <c r="CY216" s="179"/>
      <c r="CZ216" s="179"/>
      <c r="DA216" s="179"/>
      <c r="DB216" s="179"/>
      <c r="DC216" s="179"/>
      <c r="DD216" s="179"/>
      <c r="DE216" s="179"/>
      <c r="DF216" s="179"/>
      <c r="DG216" s="179"/>
      <c r="DH216" s="179"/>
      <c r="DI216" s="179"/>
      <c r="DJ216" s="179"/>
      <c r="DK216" s="179"/>
      <c r="DL216" s="179"/>
      <c r="DM216" s="179"/>
      <c r="DN216" s="179"/>
      <c r="DO216" s="179"/>
      <c r="DP216" s="179"/>
      <c r="DQ216" s="179"/>
      <c r="DR216" s="179"/>
      <c r="DS216" s="179"/>
      <c r="DT216" s="179"/>
      <c r="DU216" s="179"/>
      <c r="DV216" s="179"/>
      <c r="DW216" s="179"/>
      <c r="DX216" s="179"/>
      <c r="DY216" s="190"/>
      <c r="DZ216" s="190"/>
    </row>
    <row r="217" spans="9:128" ht="13.5">
      <c r="I217" s="169"/>
      <c r="J217" s="169"/>
      <c r="K217" s="169"/>
      <c r="M217" s="187"/>
      <c r="N217" s="188"/>
      <c r="O217" s="171"/>
      <c r="Q217" s="171"/>
      <c r="R217" s="171"/>
      <c r="S217" s="173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BM217" s="179"/>
      <c r="BN217" s="179"/>
      <c r="BO217" s="179"/>
      <c r="BP217" s="179"/>
      <c r="BQ217" s="179"/>
      <c r="BR217" s="179"/>
      <c r="BS217" s="179"/>
      <c r="BT217" s="179"/>
      <c r="BU217" s="179"/>
      <c r="BV217" s="179"/>
      <c r="BW217" s="179"/>
      <c r="BX217" s="179"/>
      <c r="BY217" s="179"/>
      <c r="BZ217" s="179"/>
      <c r="CA217" s="179"/>
      <c r="CB217" s="179"/>
      <c r="CC217" s="179"/>
      <c r="CD217" s="179"/>
      <c r="CE217" s="179"/>
      <c r="CF217" s="179"/>
      <c r="CG217" s="179"/>
      <c r="CH217" s="179"/>
      <c r="CI217" s="179"/>
      <c r="CJ217" s="179"/>
      <c r="CK217" s="179"/>
      <c r="CL217" s="179"/>
      <c r="CM217" s="179"/>
      <c r="CN217" s="179"/>
      <c r="CO217" s="179"/>
      <c r="CP217" s="179"/>
      <c r="CQ217" s="179"/>
      <c r="CR217" s="179"/>
      <c r="CS217" s="179"/>
      <c r="CT217" s="179"/>
      <c r="CU217" s="179"/>
      <c r="CV217" s="179"/>
      <c r="CW217" s="179"/>
      <c r="CX217" s="179"/>
      <c r="CY217" s="179"/>
      <c r="CZ217" s="179"/>
      <c r="DA217" s="179"/>
      <c r="DB217" s="179"/>
      <c r="DC217" s="179"/>
      <c r="DD217" s="179"/>
      <c r="DE217" s="179"/>
      <c r="DF217" s="179"/>
      <c r="DG217" s="179"/>
      <c r="DH217" s="179"/>
      <c r="DI217" s="179"/>
      <c r="DJ217" s="179"/>
      <c r="DK217" s="179"/>
      <c r="DL217" s="179"/>
      <c r="DM217" s="179"/>
      <c r="DN217" s="179"/>
      <c r="DO217" s="179"/>
      <c r="DP217" s="179"/>
      <c r="DQ217" s="179"/>
      <c r="DR217" s="179"/>
      <c r="DS217" s="179"/>
      <c r="DT217" s="179"/>
      <c r="DU217" s="179"/>
      <c r="DV217" s="179"/>
      <c r="DW217" s="179"/>
      <c r="DX217" s="179"/>
    </row>
    <row r="218" spans="9:128" ht="13.5">
      <c r="I218" s="169"/>
      <c r="J218" s="169"/>
      <c r="K218" s="169"/>
      <c r="M218" s="187"/>
      <c r="N218" s="188"/>
      <c r="O218" s="171"/>
      <c r="Q218" s="171"/>
      <c r="R218" s="171"/>
      <c r="S218" s="173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79"/>
      <c r="BL218" s="179"/>
      <c r="BM218" s="179"/>
      <c r="BN218" s="179"/>
      <c r="BO218" s="179"/>
      <c r="BP218" s="179"/>
      <c r="BQ218" s="179"/>
      <c r="BR218" s="179"/>
      <c r="BS218" s="179"/>
      <c r="BT218" s="179"/>
      <c r="BU218" s="179"/>
      <c r="BV218" s="179"/>
      <c r="BW218" s="179"/>
      <c r="BX218" s="179"/>
      <c r="BY218" s="179"/>
      <c r="BZ218" s="179"/>
      <c r="CA218" s="179"/>
      <c r="CB218" s="179"/>
      <c r="CC218" s="179"/>
      <c r="CD218" s="179"/>
      <c r="CE218" s="179"/>
      <c r="CF218" s="179"/>
      <c r="CG218" s="179"/>
      <c r="CH218" s="179"/>
      <c r="CI218" s="179"/>
      <c r="CJ218" s="179"/>
      <c r="CK218" s="179"/>
      <c r="CL218" s="179"/>
      <c r="CM218" s="179"/>
      <c r="CN218" s="179"/>
      <c r="CO218" s="179"/>
      <c r="CP218" s="179"/>
      <c r="CQ218" s="179"/>
      <c r="CR218" s="179"/>
      <c r="CS218" s="179"/>
      <c r="CT218" s="179"/>
      <c r="CU218" s="179"/>
      <c r="CV218" s="179"/>
      <c r="CW218" s="179"/>
      <c r="CX218" s="179"/>
      <c r="CY218" s="179"/>
      <c r="CZ218" s="179"/>
      <c r="DA218" s="179"/>
      <c r="DB218" s="179"/>
      <c r="DC218" s="179"/>
      <c r="DD218" s="179"/>
      <c r="DE218" s="179"/>
      <c r="DF218" s="179"/>
      <c r="DG218" s="179"/>
      <c r="DH218" s="179"/>
      <c r="DI218" s="179"/>
      <c r="DJ218" s="179"/>
      <c r="DK218" s="179"/>
      <c r="DL218" s="179"/>
      <c r="DM218" s="179"/>
      <c r="DN218" s="179"/>
      <c r="DO218" s="179"/>
      <c r="DP218" s="179"/>
      <c r="DQ218" s="179"/>
      <c r="DR218" s="179"/>
      <c r="DS218" s="179"/>
      <c r="DT218" s="179"/>
      <c r="DU218" s="179"/>
      <c r="DV218" s="179"/>
      <c r="DW218" s="179"/>
      <c r="DX218" s="179"/>
    </row>
    <row r="219" spans="2:128" ht="13.5">
      <c r="B219" s="187"/>
      <c r="C219" s="187"/>
      <c r="D219" s="187"/>
      <c r="E219" s="187"/>
      <c r="F219" s="187"/>
      <c r="G219" s="187"/>
      <c r="H219" s="187"/>
      <c r="I219" s="199"/>
      <c r="J219" s="199"/>
      <c r="K219" s="199"/>
      <c r="L219" s="199"/>
      <c r="M219" s="187"/>
      <c r="N219" s="188"/>
      <c r="O219" s="171"/>
      <c r="Q219" s="171"/>
      <c r="R219" s="171"/>
      <c r="S219" s="173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  <c r="BD219" s="179"/>
      <c r="BE219" s="179"/>
      <c r="BF219" s="179"/>
      <c r="BG219" s="179"/>
      <c r="BH219" s="179"/>
      <c r="BI219" s="179"/>
      <c r="BJ219" s="179"/>
      <c r="BK219" s="179"/>
      <c r="BL219" s="179"/>
      <c r="BM219" s="179"/>
      <c r="BN219" s="179"/>
      <c r="BO219" s="179"/>
      <c r="BP219" s="179"/>
      <c r="BQ219" s="179"/>
      <c r="BR219" s="179"/>
      <c r="BS219" s="179"/>
      <c r="BT219" s="179"/>
      <c r="BU219" s="179"/>
      <c r="BV219" s="179"/>
      <c r="BW219" s="179"/>
      <c r="BX219" s="179"/>
      <c r="BY219" s="179"/>
      <c r="BZ219" s="179"/>
      <c r="CA219" s="179"/>
      <c r="CB219" s="179"/>
      <c r="CC219" s="179"/>
      <c r="CD219" s="179"/>
      <c r="CE219" s="179"/>
      <c r="CF219" s="179"/>
      <c r="CG219" s="179"/>
      <c r="CH219" s="179"/>
      <c r="CI219" s="179"/>
      <c r="CJ219" s="179"/>
      <c r="CK219" s="179"/>
      <c r="CL219" s="179"/>
      <c r="CM219" s="179"/>
      <c r="CN219" s="179"/>
      <c r="CO219" s="179"/>
      <c r="CP219" s="179"/>
      <c r="CQ219" s="179"/>
      <c r="CR219" s="179"/>
      <c r="CS219" s="179"/>
      <c r="CT219" s="179"/>
      <c r="CU219" s="179"/>
      <c r="CV219" s="179"/>
      <c r="CW219" s="179"/>
      <c r="CX219" s="179"/>
      <c r="CY219" s="179"/>
      <c r="CZ219" s="179"/>
      <c r="DA219" s="179"/>
      <c r="DB219" s="179"/>
      <c r="DC219" s="179"/>
      <c r="DD219" s="179"/>
      <c r="DE219" s="179"/>
      <c r="DF219" s="179"/>
      <c r="DG219" s="179"/>
      <c r="DH219" s="179"/>
      <c r="DI219" s="179"/>
      <c r="DJ219" s="179"/>
      <c r="DK219" s="179"/>
      <c r="DL219" s="179"/>
      <c r="DM219" s="179"/>
      <c r="DN219" s="179"/>
      <c r="DO219" s="179"/>
      <c r="DP219" s="179"/>
      <c r="DQ219" s="179"/>
      <c r="DR219" s="179"/>
      <c r="DS219" s="179"/>
      <c r="DT219" s="179"/>
      <c r="DU219" s="179"/>
      <c r="DV219" s="179"/>
      <c r="DW219" s="179"/>
      <c r="DX219" s="179"/>
    </row>
    <row r="220" spans="9:128" ht="13.5">
      <c r="I220" s="169"/>
      <c r="J220" s="169"/>
      <c r="K220" s="169"/>
      <c r="M220" s="187"/>
      <c r="N220" s="188"/>
      <c r="O220" s="171"/>
      <c r="Q220" s="171"/>
      <c r="R220" s="171"/>
      <c r="S220" s="173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</row>
    <row r="221" spans="1:130" s="191" customFormat="1" ht="13.5">
      <c r="A221" s="187"/>
      <c r="B221" s="167"/>
      <c r="C221" s="167"/>
      <c r="D221" s="167"/>
      <c r="E221" s="167"/>
      <c r="F221" s="167"/>
      <c r="G221" s="167"/>
      <c r="H221" s="167"/>
      <c r="I221" s="169"/>
      <c r="J221" s="169"/>
      <c r="K221" s="169"/>
      <c r="L221" s="169"/>
      <c r="M221" s="187"/>
      <c r="N221" s="188"/>
      <c r="O221" s="171"/>
      <c r="P221" s="172"/>
      <c r="Q221" s="171"/>
      <c r="R221" s="171"/>
      <c r="S221" s="173"/>
      <c r="T221" s="18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  <c r="BK221" s="179"/>
      <c r="BL221" s="179"/>
      <c r="BM221" s="179"/>
      <c r="BN221" s="179"/>
      <c r="BO221" s="179"/>
      <c r="BP221" s="179"/>
      <c r="BQ221" s="179"/>
      <c r="BR221" s="179"/>
      <c r="BS221" s="179"/>
      <c r="BT221" s="179"/>
      <c r="BU221" s="179"/>
      <c r="BV221" s="179"/>
      <c r="BW221" s="179"/>
      <c r="BX221" s="179"/>
      <c r="BY221" s="179"/>
      <c r="BZ221" s="179"/>
      <c r="CA221" s="179"/>
      <c r="CB221" s="179"/>
      <c r="CC221" s="179"/>
      <c r="CD221" s="179"/>
      <c r="CE221" s="179"/>
      <c r="CF221" s="179"/>
      <c r="CG221" s="179"/>
      <c r="CH221" s="179"/>
      <c r="CI221" s="179"/>
      <c r="CJ221" s="179"/>
      <c r="CK221" s="179"/>
      <c r="CL221" s="179"/>
      <c r="CM221" s="179"/>
      <c r="CN221" s="179"/>
      <c r="CO221" s="179"/>
      <c r="CP221" s="179"/>
      <c r="CQ221" s="179"/>
      <c r="CR221" s="179"/>
      <c r="CS221" s="179"/>
      <c r="CT221" s="179"/>
      <c r="CU221" s="179"/>
      <c r="CV221" s="179"/>
      <c r="CW221" s="179"/>
      <c r="CX221" s="179"/>
      <c r="CY221" s="179"/>
      <c r="CZ221" s="179"/>
      <c r="DA221" s="179"/>
      <c r="DB221" s="179"/>
      <c r="DC221" s="179"/>
      <c r="DD221" s="179"/>
      <c r="DE221" s="179"/>
      <c r="DF221" s="179"/>
      <c r="DG221" s="179"/>
      <c r="DH221" s="179"/>
      <c r="DI221" s="179"/>
      <c r="DJ221" s="179"/>
      <c r="DK221" s="179"/>
      <c r="DL221" s="179"/>
      <c r="DM221" s="179"/>
      <c r="DN221" s="179"/>
      <c r="DO221" s="179"/>
      <c r="DP221" s="179"/>
      <c r="DQ221" s="179"/>
      <c r="DR221" s="179"/>
      <c r="DS221" s="179"/>
      <c r="DT221" s="179"/>
      <c r="DU221" s="179"/>
      <c r="DV221" s="179"/>
      <c r="DW221" s="179"/>
      <c r="DX221" s="179"/>
      <c r="DY221" s="190"/>
      <c r="DZ221" s="190"/>
    </row>
    <row r="222" spans="9:128" ht="13.5">
      <c r="I222" s="169"/>
      <c r="J222" s="169"/>
      <c r="K222" s="169"/>
      <c r="M222" s="187"/>
      <c r="N222" s="188"/>
      <c r="O222" s="171"/>
      <c r="Q222" s="171"/>
      <c r="R222" s="171"/>
      <c r="S222" s="173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79"/>
      <c r="BM222" s="179"/>
      <c r="BN222" s="179"/>
      <c r="BO222" s="179"/>
      <c r="BP222" s="179"/>
      <c r="BQ222" s="179"/>
      <c r="BR222" s="179"/>
      <c r="BS222" s="179"/>
      <c r="BT222" s="179"/>
      <c r="BU222" s="179"/>
      <c r="BV222" s="179"/>
      <c r="BW222" s="179"/>
      <c r="BX222" s="179"/>
      <c r="BY222" s="179"/>
      <c r="BZ222" s="179"/>
      <c r="CA222" s="179"/>
      <c r="CB222" s="179"/>
      <c r="CC222" s="179"/>
      <c r="CD222" s="179"/>
      <c r="CE222" s="179"/>
      <c r="CF222" s="179"/>
      <c r="CG222" s="179"/>
      <c r="CH222" s="179"/>
      <c r="CI222" s="179"/>
      <c r="CJ222" s="179"/>
      <c r="CK222" s="179"/>
      <c r="CL222" s="179"/>
      <c r="CM222" s="179"/>
      <c r="CN222" s="179"/>
      <c r="CO222" s="179"/>
      <c r="CP222" s="179"/>
      <c r="CQ222" s="179"/>
      <c r="CR222" s="179"/>
      <c r="CS222" s="179"/>
      <c r="CT222" s="179"/>
      <c r="CU222" s="179"/>
      <c r="CV222" s="179"/>
      <c r="CW222" s="179"/>
      <c r="CX222" s="179"/>
      <c r="CY222" s="179"/>
      <c r="CZ222" s="179"/>
      <c r="DA222" s="179"/>
      <c r="DB222" s="179"/>
      <c r="DC222" s="179"/>
      <c r="DD222" s="179"/>
      <c r="DE222" s="179"/>
      <c r="DF222" s="179"/>
      <c r="DG222" s="179"/>
      <c r="DH222" s="179"/>
      <c r="DI222" s="179"/>
      <c r="DJ222" s="179"/>
      <c r="DK222" s="179"/>
      <c r="DL222" s="179"/>
      <c r="DM222" s="179"/>
      <c r="DN222" s="179"/>
      <c r="DO222" s="179"/>
      <c r="DP222" s="179"/>
      <c r="DQ222" s="179"/>
      <c r="DR222" s="179"/>
      <c r="DS222" s="179"/>
      <c r="DT222" s="179"/>
      <c r="DU222" s="179"/>
      <c r="DV222" s="179"/>
      <c r="DW222" s="179"/>
      <c r="DX222" s="179"/>
    </row>
    <row r="223" spans="9:128" ht="13.5">
      <c r="I223" s="169"/>
      <c r="J223" s="169"/>
      <c r="K223" s="169"/>
      <c r="M223" s="187"/>
      <c r="N223" s="188"/>
      <c r="O223" s="171"/>
      <c r="Q223" s="171"/>
      <c r="R223" s="171"/>
      <c r="S223" s="173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  <c r="BK223" s="179"/>
      <c r="BL223" s="179"/>
      <c r="BM223" s="179"/>
      <c r="BN223" s="179"/>
      <c r="BO223" s="179"/>
      <c r="BP223" s="179"/>
      <c r="BQ223" s="179"/>
      <c r="BR223" s="179"/>
      <c r="BS223" s="179"/>
      <c r="BT223" s="179"/>
      <c r="BU223" s="179"/>
      <c r="BV223" s="179"/>
      <c r="BW223" s="179"/>
      <c r="BX223" s="179"/>
      <c r="BY223" s="179"/>
      <c r="BZ223" s="179"/>
      <c r="CA223" s="179"/>
      <c r="CB223" s="179"/>
      <c r="CC223" s="179"/>
      <c r="CD223" s="179"/>
      <c r="CE223" s="179"/>
      <c r="CF223" s="179"/>
      <c r="CG223" s="179"/>
      <c r="CH223" s="179"/>
      <c r="CI223" s="179"/>
      <c r="CJ223" s="179"/>
      <c r="CK223" s="179"/>
      <c r="CL223" s="179"/>
      <c r="CM223" s="179"/>
      <c r="CN223" s="179"/>
      <c r="CO223" s="179"/>
      <c r="CP223" s="179"/>
      <c r="CQ223" s="179"/>
      <c r="CR223" s="179"/>
      <c r="CS223" s="179"/>
      <c r="CT223" s="179"/>
      <c r="CU223" s="179"/>
      <c r="CV223" s="179"/>
      <c r="CW223" s="179"/>
      <c r="CX223" s="179"/>
      <c r="CY223" s="179"/>
      <c r="CZ223" s="179"/>
      <c r="DA223" s="179"/>
      <c r="DB223" s="179"/>
      <c r="DC223" s="179"/>
      <c r="DD223" s="179"/>
      <c r="DE223" s="179"/>
      <c r="DF223" s="179"/>
      <c r="DG223" s="179"/>
      <c r="DH223" s="179"/>
      <c r="DI223" s="179"/>
      <c r="DJ223" s="179"/>
      <c r="DK223" s="179"/>
      <c r="DL223" s="179"/>
      <c r="DM223" s="179"/>
      <c r="DN223" s="179"/>
      <c r="DO223" s="179"/>
      <c r="DP223" s="179"/>
      <c r="DQ223" s="179"/>
      <c r="DR223" s="179"/>
      <c r="DS223" s="179"/>
      <c r="DT223" s="179"/>
      <c r="DU223" s="179"/>
      <c r="DV223" s="179"/>
      <c r="DW223" s="179"/>
      <c r="DX223" s="179"/>
    </row>
    <row r="224" spans="1:130" s="191" customFormat="1" ht="13.5">
      <c r="A224" s="187"/>
      <c r="B224" s="187"/>
      <c r="C224" s="187"/>
      <c r="D224" s="187"/>
      <c r="E224" s="187"/>
      <c r="F224" s="187"/>
      <c r="G224" s="187"/>
      <c r="H224" s="187"/>
      <c r="I224" s="199"/>
      <c r="J224" s="199"/>
      <c r="K224" s="199"/>
      <c r="L224" s="199"/>
      <c r="M224" s="187"/>
      <c r="N224" s="188"/>
      <c r="O224" s="171"/>
      <c r="P224" s="172"/>
      <c r="Q224" s="171"/>
      <c r="R224" s="171"/>
      <c r="S224" s="173"/>
      <c r="T224" s="18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  <c r="BV224" s="179"/>
      <c r="BW224" s="179"/>
      <c r="BX224" s="179"/>
      <c r="BY224" s="179"/>
      <c r="BZ224" s="179"/>
      <c r="CA224" s="179"/>
      <c r="CB224" s="179"/>
      <c r="CC224" s="179"/>
      <c r="CD224" s="179"/>
      <c r="CE224" s="179"/>
      <c r="CF224" s="179"/>
      <c r="CG224" s="179"/>
      <c r="CH224" s="179"/>
      <c r="CI224" s="179"/>
      <c r="CJ224" s="179"/>
      <c r="CK224" s="179"/>
      <c r="CL224" s="179"/>
      <c r="CM224" s="179"/>
      <c r="CN224" s="179"/>
      <c r="CO224" s="179"/>
      <c r="CP224" s="179"/>
      <c r="CQ224" s="179"/>
      <c r="CR224" s="179"/>
      <c r="CS224" s="179"/>
      <c r="CT224" s="179"/>
      <c r="CU224" s="179"/>
      <c r="CV224" s="179"/>
      <c r="CW224" s="179"/>
      <c r="CX224" s="179"/>
      <c r="CY224" s="179"/>
      <c r="CZ224" s="179"/>
      <c r="DA224" s="179"/>
      <c r="DB224" s="179"/>
      <c r="DC224" s="179"/>
      <c r="DD224" s="179"/>
      <c r="DE224" s="179"/>
      <c r="DF224" s="179"/>
      <c r="DG224" s="179"/>
      <c r="DH224" s="179"/>
      <c r="DI224" s="179"/>
      <c r="DJ224" s="179"/>
      <c r="DK224" s="179"/>
      <c r="DL224" s="179"/>
      <c r="DM224" s="179"/>
      <c r="DN224" s="179"/>
      <c r="DO224" s="179"/>
      <c r="DP224" s="179"/>
      <c r="DQ224" s="179"/>
      <c r="DR224" s="179"/>
      <c r="DS224" s="179"/>
      <c r="DT224" s="179"/>
      <c r="DU224" s="179"/>
      <c r="DV224" s="179"/>
      <c r="DW224" s="179"/>
      <c r="DX224" s="179"/>
      <c r="DY224" s="190"/>
      <c r="DZ224" s="190"/>
    </row>
    <row r="225" spans="9:128" ht="13.5">
      <c r="I225" s="169"/>
      <c r="J225" s="169"/>
      <c r="K225" s="169"/>
      <c r="M225" s="187"/>
      <c r="N225" s="188"/>
      <c r="O225" s="171"/>
      <c r="Q225" s="171"/>
      <c r="R225" s="171"/>
      <c r="S225" s="173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79"/>
      <c r="BN225" s="179"/>
      <c r="BO225" s="179"/>
      <c r="BP225" s="179"/>
      <c r="BQ225" s="179"/>
      <c r="BR225" s="179"/>
      <c r="BS225" s="179"/>
      <c r="BT225" s="179"/>
      <c r="BU225" s="179"/>
      <c r="BV225" s="179"/>
      <c r="BW225" s="179"/>
      <c r="BX225" s="179"/>
      <c r="BY225" s="179"/>
      <c r="BZ225" s="179"/>
      <c r="CA225" s="179"/>
      <c r="CB225" s="179"/>
      <c r="CC225" s="179"/>
      <c r="CD225" s="179"/>
      <c r="CE225" s="179"/>
      <c r="CF225" s="179"/>
      <c r="CG225" s="179"/>
      <c r="CH225" s="179"/>
      <c r="CI225" s="179"/>
      <c r="CJ225" s="179"/>
      <c r="CK225" s="179"/>
      <c r="CL225" s="179"/>
      <c r="CM225" s="179"/>
      <c r="CN225" s="179"/>
      <c r="CO225" s="179"/>
      <c r="CP225" s="179"/>
      <c r="CQ225" s="179"/>
      <c r="CR225" s="179"/>
      <c r="CS225" s="179"/>
      <c r="CT225" s="179"/>
      <c r="CU225" s="179"/>
      <c r="CV225" s="179"/>
      <c r="CW225" s="179"/>
      <c r="CX225" s="179"/>
      <c r="CY225" s="179"/>
      <c r="CZ225" s="179"/>
      <c r="DA225" s="179"/>
      <c r="DB225" s="179"/>
      <c r="DC225" s="179"/>
      <c r="DD225" s="179"/>
      <c r="DE225" s="179"/>
      <c r="DF225" s="179"/>
      <c r="DG225" s="179"/>
      <c r="DH225" s="179"/>
      <c r="DI225" s="179"/>
      <c r="DJ225" s="179"/>
      <c r="DK225" s="179"/>
      <c r="DL225" s="179"/>
      <c r="DM225" s="179"/>
      <c r="DN225" s="179"/>
      <c r="DO225" s="179"/>
      <c r="DP225" s="179"/>
      <c r="DQ225" s="179"/>
      <c r="DR225" s="179"/>
      <c r="DS225" s="179"/>
      <c r="DT225" s="179"/>
      <c r="DU225" s="179"/>
      <c r="DV225" s="179"/>
      <c r="DW225" s="179"/>
      <c r="DX225" s="179"/>
    </row>
    <row r="226" spans="1:130" s="191" customFormat="1" ht="13.5">
      <c r="A226" s="187"/>
      <c r="B226" s="167"/>
      <c r="C226" s="167"/>
      <c r="D226" s="167"/>
      <c r="E226" s="167"/>
      <c r="F226" s="167"/>
      <c r="G226" s="167"/>
      <c r="H226" s="167"/>
      <c r="I226" s="169"/>
      <c r="J226" s="169"/>
      <c r="K226" s="169"/>
      <c r="L226" s="169"/>
      <c r="M226" s="187"/>
      <c r="N226" s="188"/>
      <c r="O226" s="171"/>
      <c r="P226" s="172"/>
      <c r="Q226" s="171"/>
      <c r="R226" s="171"/>
      <c r="S226" s="173"/>
      <c r="T226" s="18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  <c r="BM226" s="179"/>
      <c r="BN226" s="179"/>
      <c r="BO226" s="179"/>
      <c r="BP226" s="179"/>
      <c r="BQ226" s="179"/>
      <c r="BR226" s="179"/>
      <c r="BS226" s="179"/>
      <c r="BT226" s="179"/>
      <c r="BU226" s="179"/>
      <c r="BV226" s="179"/>
      <c r="BW226" s="179"/>
      <c r="BX226" s="179"/>
      <c r="BY226" s="179"/>
      <c r="BZ226" s="179"/>
      <c r="CA226" s="179"/>
      <c r="CB226" s="179"/>
      <c r="CC226" s="179"/>
      <c r="CD226" s="179"/>
      <c r="CE226" s="179"/>
      <c r="CF226" s="179"/>
      <c r="CG226" s="179"/>
      <c r="CH226" s="179"/>
      <c r="CI226" s="179"/>
      <c r="CJ226" s="179"/>
      <c r="CK226" s="179"/>
      <c r="CL226" s="179"/>
      <c r="CM226" s="179"/>
      <c r="CN226" s="179"/>
      <c r="CO226" s="179"/>
      <c r="CP226" s="179"/>
      <c r="CQ226" s="179"/>
      <c r="CR226" s="179"/>
      <c r="CS226" s="179"/>
      <c r="CT226" s="179"/>
      <c r="CU226" s="179"/>
      <c r="CV226" s="179"/>
      <c r="CW226" s="179"/>
      <c r="CX226" s="179"/>
      <c r="CY226" s="179"/>
      <c r="CZ226" s="179"/>
      <c r="DA226" s="179"/>
      <c r="DB226" s="179"/>
      <c r="DC226" s="179"/>
      <c r="DD226" s="179"/>
      <c r="DE226" s="179"/>
      <c r="DF226" s="179"/>
      <c r="DG226" s="179"/>
      <c r="DH226" s="179"/>
      <c r="DI226" s="179"/>
      <c r="DJ226" s="179"/>
      <c r="DK226" s="179"/>
      <c r="DL226" s="179"/>
      <c r="DM226" s="179"/>
      <c r="DN226" s="179"/>
      <c r="DO226" s="179"/>
      <c r="DP226" s="179"/>
      <c r="DQ226" s="179"/>
      <c r="DR226" s="179"/>
      <c r="DS226" s="179"/>
      <c r="DT226" s="179"/>
      <c r="DU226" s="179"/>
      <c r="DV226" s="179"/>
      <c r="DW226" s="179"/>
      <c r="DX226" s="179"/>
      <c r="DY226" s="190"/>
      <c r="DZ226" s="190"/>
    </row>
    <row r="227" spans="2:128" ht="13.5">
      <c r="B227" s="187"/>
      <c r="C227" s="187"/>
      <c r="D227" s="187"/>
      <c r="E227" s="187"/>
      <c r="F227" s="187"/>
      <c r="G227" s="187"/>
      <c r="H227" s="187"/>
      <c r="I227" s="199"/>
      <c r="J227" s="199"/>
      <c r="K227" s="199"/>
      <c r="L227" s="199"/>
      <c r="M227" s="187"/>
      <c r="O227" s="171"/>
      <c r="Q227" s="171"/>
      <c r="R227" s="171"/>
      <c r="S227" s="173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BZ227" s="179"/>
      <c r="CA227" s="179"/>
      <c r="CB227" s="179"/>
      <c r="CC227" s="179"/>
      <c r="CD227" s="179"/>
      <c r="CE227" s="179"/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179"/>
      <c r="CV227" s="179"/>
      <c r="CW227" s="179"/>
      <c r="CX227" s="179"/>
      <c r="CY227" s="179"/>
      <c r="CZ227" s="179"/>
      <c r="DA227" s="179"/>
      <c r="DB227" s="179"/>
      <c r="DC227" s="179"/>
      <c r="DD227" s="179"/>
      <c r="DE227" s="179"/>
      <c r="DF227" s="179"/>
      <c r="DG227" s="179"/>
      <c r="DH227" s="179"/>
      <c r="DI227" s="179"/>
      <c r="DJ227" s="179"/>
      <c r="DK227" s="179"/>
      <c r="DL227" s="179"/>
      <c r="DM227" s="179"/>
      <c r="DN227" s="179"/>
      <c r="DO227" s="179"/>
      <c r="DP227" s="179"/>
      <c r="DQ227" s="179"/>
      <c r="DR227" s="179"/>
      <c r="DS227" s="179"/>
      <c r="DT227" s="179"/>
      <c r="DU227" s="179"/>
      <c r="DV227" s="179"/>
      <c r="DW227" s="179"/>
      <c r="DX227" s="179"/>
    </row>
    <row r="228" spans="9:128" ht="13.5">
      <c r="I228" s="169"/>
      <c r="J228" s="169"/>
      <c r="K228" s="169"/>
      <c r="M228" s="187"/>
      <c r="O228" s="171"/>
      <c r="Q228" s="171"/>
      <c r="R228" s="171"/>
      <c r="S228" s="173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79"/>
      <c r="BU228" s="179"/>
      <c r="BV228" s="179"/>
      <c r="BW228" s="179"/>
      <c r="BX228" s="179"/>
      <c r="BY228" s="179"/>
      <c r="BZ228" s="179"/>
      <c r="CA228" s="179"/>
      <c r="CB228" s="179"/>
      <c r="CC228" s="179"/>
      <c r="CD228" s="179"/>
      <c r="CE228" s="179"/>
      <c r="CF228" s="179"/>
      <c r="CG228" s="179"/>
      <c r="CH228" s="179"/>
      <c r="CI228" s="179"/>
      <c r="CJ228" s="179"/>
      <c r="CK228" s="179"/>
      <c r="CL228" s="179"/>
      <c r="CM228" s="179"/>
      <c r="CN228" s="179"/>
      <c r="CO228" s="179"/>
      <c r="CP228" s="179"/>
      <c r="CQ228" s="179"/>
      <c r="CR228" s="179"/>
      <c r="CS228" s="179"/>
      <c r="CT228" s="179"/>
      <c r="CU228" s="179"/>
      <c r="CV228" s="179"/>
      <c r="CW228" s="179"/>
      <c r="CX228" s="179"/>
      <c r="CY228" s="179"/>
      <c r="CZ228" s="179"/>
      <c r="DA228" s="179"/>
      <c r="DB228" s="179"/>
      <c r="DC228" s="179"/>
      <c r="DD228" s="179"/>
      <c r="DE228" s="179"/>
      <c r="DF228" s="179"/>
      <c r="DG228" s="179"/>
      <c r="DH228" s="179"/>
      <c r="DI228" s="179"/>
      <c r="DJ228" s="179"/>
      <c r="DK228" s="179"/>
      <c r="DL228" s="179"/>
      <c r="DM228" s="179"/>
      <c r="DN228" s="179"/>
      <c r="DO228" s="179"/>
      <c r="DP228" s="179"/>
      <c r="DQ228" s="179"/>
      <c r="DR228" s="179"/>
      <c r="DS228" s="179"/>
      <c r="DT228" s="179"/>
      <c r="DU228" s="179"/>
      <c r="DV228" s="179"/>
      <c r="DW228" s="179"/>
      <c r="DX228" s="179"/>
    </row>
    <row r="229" spans="2:128" ht="13.5">
      <c r="B229" s="187"/>
      <c r="C229" s="187"/>
      <c r="D229" s="187"/>
      <c r="E229" s="187"/>
      <c r="F229" s="187"/>
      <c r="G229" s="187"/>
      <c r="H229" s="187"/>
      <c r="I229" s="199"/>
      <c r="J229" s="199"/>
      <c r="K229" s="199"/>
      <c r="L229" s="199"/>
      <c r="M229" s="187"/>
      <c r="O229" s="171"/>
      <c r="Q229" s="171"/>
      <c r="R229" s="171"/>
      <c r="S229" s="173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79"/>
      <c r="CH229" s="179"/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179"/>
      <c r="CV229" s="179"/>
      <c r="CW229" s="179"/>
      <c r="CX229" s="179"/>
      <c r="CY229" s="179"/>
      <c r="CZ229" s="179"/>
      <c r="DA229" s="179"/>
      <c r="DB229" s="179"/>
      <c r="DC229" s="179"/>
      <c r="DD229" s="179"/>
      <c r="DE229" s="179"/>
      <c r="DF229" s="179"/>
      <c r="DG229" s="179"/>
      <c r="DH229" s="179"/>
      <c r="DI229" s="179"/>
      <c r="DJ229" s="179"/>
      <c r="DK229" s="179"/>
      <c r="DL229" s="179"/>
      <c r="DM229" s="179"/>
      <c r="DN229" s="179"/>
      <c r="DO229" s="179"/>
      <c r="DP229" s="179"/>
      <c r="DQ229" s="179"/>
      <c r="DR229" s="179"/>
      <c r="DS229" s="179"/>
      <c r="DT229" s="179"/>
      <c r="DU229" s="179"/>
      <c r="DV229" s="179"/>
      <c r="DW229" s="179"/>
      <c r="DX229" s="179"/>
    </row>
    <row r="230" spans="15:128" ht="13.5">
      <c r="O230" s="171"/>
      <c r="Q230" s="171"/>
      <c r="R230" s="171"/>
      <c r="S230" s="173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79"/>
      <c r="BN230" s="179"/>
      <c r="BO230" s="179"/>
      <c r="BP230" s="179"/>
      <c r="BQ230" s="179"/>
      <c r="BR230" s="179"/>
      <c r="BS230" s="179"/>
      <c r="BT230" s="179"/>
      <c r="BU230" s="179"/>
      <c r="BV230" s="179"/>
      <c r="BW230" s="179"/>
      <c r="BX230" s="179"/>
      <c r="BY230" s="179"/>
      <c r="BZ230" s="179"/>
      <c r="CA230" s="179"/>
      <c r="CB230" s="179"/>
      <c r="CC230" s="179"/>
      <c r="CD230" s="179"/>
      <c r="CE230" s="179"/>
      <c r="CF230" s="179"/>
      <c r="CG230" s="179"/>
      <c r="CH230" s="179"/>
      <c r="CI230" s="179"/>
      <c r="CJ230" s="179"/>
      <c r="CK230" s="179"/>
      <c r="CL230" s="179"/>
      <c r="CM230" s="179"/>
      <c r="CN230" s="179"/>
      <c r="CO230" s="179"/>
      <c r="CP230" s="179"/>
      <c r="CQ230" s="179"/>
      <c r="CR230" s="179"/>
      <c r="CS230" s="179"/>
      <c r="CT230" s="179"/>
      <c r="CU230" s="179"/>
      <c r="CV230" s="179"/>
      <c r="CW230" s="179"/>
      <c r="CX230" s="179"/>
      <c r="CY230" s="179"/>
      <c r="CZ230" s="179"/>
      <c r="DA230" s="179"/>
      <c r="DB230" s="179"/>
      <c r="DC230" s="179"/>
      <c r="DD230" s="179"/>
      <c r="DE230" s="179"/>
      <c r="DF230" s="179"/>
      <c r="DG230" s="179"/>
      <c r="DH230" s="179"/>
      <c r="DI230" s="179"/>
      <c r="DJ230" s="179"/>
      <c r="DK230" s="179"/>
      <c r="DL230" s="179"/>
      <c r="DM230" s="179"/>
      <c r="DN230" s="179"/>
      <c r="DO230" s="179"/>
      <c r="DP230" s="179"/>
      <c r="DQ230" s="179"/>
      <c r="DR230" s="179"/>
      <c r="DS230" s="179"/>
      <c r="DT230" s="179"/>
      <c r="DU230" s="179"/>
      <c r="DV230" s="179"/>
      <c r="DW230" s="179"/>
      <c r="DX230" s="179"/>
    </row>
    <row r="231" spans="15:128" ht="13.5">
      <c r="O231" s="171"/>
      <c r="Q231" s="171"/>
      <c r="R231" s="171"/>
      <c r="S231" s="173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79"/>
      <c r="BN231" s="179"/>
      <c r="BO231" s="179"/>
      <c r="BP231" s="179"/>
      <c r="BQ231" s="179"/>
      <c r="BR231" s="179"/>
      <c r="BS231" s="179"/>
      <c r="BT231" s="179"/>
      <c r="BU231" s="179"/>
      <c r="BV231" s="179"/>
      <c r="BW231" s="179"/>
      <c r="BX231" s="179"/>
      <c r="BY231" s="179"/>
      <c r="BZ231" s="179"/>
      <c r="CA231" s="179"/>
      <c r="CB231" s="179"/>
      <c r="CC231" s="179"/>
      <c r="CD231" s="179"/>
      <c r="CE231" s="179"/>
      <c r="CF231" s="179"/>
      <c r="CG231" s="179"/>
      <c r="CH231" s="179"/>
      <c r="CI231" s="179"/>
      <c r="CJ231" s="179"/>
      <c r="CK231" s="179"/>
      <c r="CL231" s="179"/>
      <c r="CM231" s="179"/>
      <c r="CN231" s="179"/>
      <c r="CO231" s="179"/>
      <c r="CP231" s="179"/>
      <c r="CQ231" s="179"/>
      <c r="CR231" s="179"/>
      <c r="CS231" s="179"/>
      <c r="CT231" s="179"/>
      <c r="CU231" s="179"/>
      <c r="CV231" s="179"/>
      <c r="CW231" s="179"/>
      <c r="CX231" s="179"/>
      <c r="CY231" s="179"/>
      <c r="CZ231" s="179"/>
      <c r="DA231" s="179"/>
      <c r="DB231" s="179"/>
      <c r="DC231" s="179"/>
      <c r="DD231" s="179"/>
      <c r="DE231" s="179"/>
      <c r="DF231" s="179"/>
      <c r="DG231" s="179"/>
      <c r="DH231" s="179"/>
      <c r="DI231" s="179"/>
      <c r="DJ231" s="179"/>
      <c r="DK231" s="179"/>
      <c r="DL231" s="179"/>
      <c r="DM231" s="179"/>
      <c r="DN231" s="179"/>
      <c r="DO231" s="179"/>
      <c r="DP231" s="179"/>
      <c r="DQ231" s="179"/>
      <c r="DR231" s="179"/>
      <c r="DS231" s="179"/>
      <c r="DT231" s="179"/>
      <c r="DU231" s="179"/>
      <c r="DV231" s="179"/>
      <c r="DW231" s="179"/>
      <c r="DX231" s="179"/>
    </row>
    <row r="232" spans="15:128" ht="13.5">
      <c r="O232" s="171"/>
      <c r="Q232" s="171"/>
      <c r="R232" s="171"/>
      <c r="S232" s="173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79"/>
      <c r="BN232" s="179"/>
      <c r="BO232" s="179"/>
      <c r="BP232" s="179"/>
      <c r="BQ232" s="179"/>
      <c r="BR232" s="179"/>
      <c r="BS232" s="179"/>
      <c r="BT232" s="179"/>
      <c r="BU232" s="179"/>
      <c r="BV232" s="179"/>
      <c r="BW232" s="179"/>
      <c r="BX232" s="179"/>
      <c r="BY232" s="179"/>
      <c r="BZ232" s="179"/>
      <c r="CA232" s="179"/>
      <c r="CB232" s="179"/>
      <c r="CC232" s="179"/>
      <c r="CD232" s="179"/>
      <c r="CE232" s="179"/>
      <c r="CF232" s="179"/>
      <c r="CG232" s="179"/>
      <c r="CH232" s="179"/>
      <c r="CI232" s="179"/>
      <c r="CJ232" s="179"/>
      <c r="CK232" s="179"/>
      <c r="CL232" s="179"/>
      <c r="CM232" s="179"/>
      <c r="CN232" s="179"/>
      <c r="CO232" s="179"/>
      <c r="CP232" s="179"/>
      <c r="CQ232" s="179"/>
      <c r="CR232" s="179"/>
      <c r="CS232" s="179"/>
      <c r="CT232" s="179"/>
      <c r="CU232" s="179"/>
      <c r="CV232" s="179"/>
      <c r="CW232" s="179"/>
      <c r="CX232" s="179"/>
      <c r="CY232" s="179"/>
      <c r="CZ232" s="179"/>
      <c r="DA232" s="179"/>
      <c r="DB232" s="179"/>
      <c r="DC232" s="179"/>
      <c r="DD232" s="179"/>
      <c r="DE232" s="179"/>
      <c r="DF232" s="179"/>
      <c r="DG232" s="179"/>
      <c r="DH232" s="179"/>
      <c r="DI232" s="179"/>
      <c r="DJ232" s="179"/>
      <c r="DK232" s="179"/>
      <c r="DL232" s="179"/>
      <c r="DM232" s="179"/>
      <c r="DN232" s="179"/>
      <c r="DO232" s="179"/>
      <c r="DP232" s="179"/>
      <c r="DQ232" s="179"/>
      <c r="DR232" s="179"/>
      <c r="DS232" s="179"/>
      <c r="DT232" s="179"/>
      <c r="DU232" s="179"/>
      <c r="DV232" s="179"/>
      <c r="DW232" s="179"/>
      <c r="DX232" s="179"/>
    </row>
    <row r="233" spans="15:128" ht="13.5">
      <c r="O233" s="171"/>
      <c r="Q233" s="171"/>
      <c r="R233" s="171"/>
      <c r="S233" s="173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79"/>
      <c r="BN233" s="179"/>
      <c r="BO233" s="179"/>
      <c r="BP233" s="179"/>
      <c r="BQ233" s="179"/>
      <c r="BR233" s="179"/>
      <c r="BS233" s="179"/>
      <c r="BT233" s="179"/>
      <c r="BU233" s="179"/>
      <c r="BV233" s="179"/>
      <c r="BW233" s="179"/>
      <c r="BX233" s="179"/>
      <c r="BY233" s="179"/>
      <c r="BZ233" s="179"/>
      <c r="CA233" s="179"/>
      <c r="CB233" s="179"/>
      <c r="CC233" s="179"/>
      <c r="CD233" s="179"/>
      <c r="CE233" s="179"/>
      <c r="CF233" s="179"/>
      <c r="CG233" s="179"/>
      <c r="CH233" s="179"/>
      <c r="CI233" s="179"/>
      <c r="CJ233" s="179"/>
      <c r="CK233" s="179"/>
      <c r="CL233" s="179"/>
      <c r="CM233" s="179"/>
      <c r="CN233" s="179"/>
      <c r="CO233" s="179"/>
      <c r="CP233" s="179"/>
      <c r="CQ233" s="179"/>
      <c r="CR233" s="179"/>
      <c r="CS233" s="179"/>
      <c r="CT233" s="179"/>
      <c r="CU233" s="179"/>
      <c r="CV233" s="179"/>
      <c r="CW233" s="179"/>
      <c r="CX233" s="179"/>
      <c r="CY233" s="179"/>
      <c r="CZ233" s="179"/>
      <c r="DA233" s="179"/>
      <c r="DB233" s="179"/>
      <c r="DC233" s="179"/>
      <c r="DD233" s="179"/>
      <c r="DE233" s="179"/>
      <c r="DF233" s="179"/>
      <c r="DG233" s="179"/>
      <c r="DH233" s="179"/>
      <c r="DI233" s="179"/>
      <c r="DJ233" s="179"/>
      <c r="DK233" s="179"/>
      <c r="DL233" s="179"/>
      <c r="DM233" s="179"/>
      <c r="DN233" s="179"/>
      <c r="DO233" s="179"/>
      <c r="DP233" s="179"/>
      <c r="DQ233" s="179"/>
      <c r="DR233" s="179"/>
      <c r="DS233" s="179"/>
      <c r="DT233" s="179"/>
      <c r="DU233" s="179"/>
      <c r="DV233" s="179"/>
      <c r="DW233" s="179"/>
      <c r="DX233" s="179"/>
    </row>
    <row r="234" spans="15:128" ht="13.5">
      <c r="O234" s="171"/>
      <c r="Q234" s="171"/>
      <c r="R234" s="171"/>
      <c r="S234" s="173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79"/>
      <c r="CV234" s="179"/>
      <c r="CW234" s="179"/>
      <c r="CX234" s="179"/>
      <c r="CY234" s="179"/>
      <c r="CZ234" s="179"/>
      <c r="DA234" s="179"/>
      <c r="DB234" s="179"/>
      <c r="DC234" s="179"/>
      <c r="DD234" s="179"/>
      <c r="DE234" s="179"/>
      <c r="DF234" s="179"/>
      <c r="DG234" s="179"/>
      <c r="DH234" s="179"/>
      <c r="DI234" s="179"/>
      <c r="DJ234" s="179"/>
      <c r="DK234" s="179"/>
      <c r="DL234" s="179"/>
      <c r="DM234" s="179"/>
      <c r="DN234" s="179"/>
      <c r="DO234" s="179"/>
      <c r="DP234" s="179"/>
      <c r="DQ234" s="179"/>
      <c r="DR234" s="179"/>
      <c r="DS234" s="179"/>
      <c r="DT234" s="179"/>
      <c r="DU234" s="179"/>
      <c r="DV234" s="179"/>
      <c r="DW234" s="179"/>
      <c r="DX234" s="179"/>
    </row>
    <row r="235" spans="15:128" ht="13.5">
      <c r="O235" s="171"/>
      <c r="Q235" s="171"/>
      <c r="R235" s="171"/>
      <c r="S235" s="173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  <c r="BD235" s="179"/>
      <c r="BE235" s="179"/>
      <c r="BF235" s="179"/>
      <c r="BG235" s="179"/>
      <c r="BH235" s="179"/>
      <c r="BI235" s="179"/>
      <c r="BJ235" s="179"/>
      <c r="BK235" s="179"/>
      <c r="BL235" s="179"/>
      <c r="BM235" s="179"/>
      <c r="BN235" s="179"/>
      <c r="BO235" s="179"/>
      <c r="BP235" s="179"/>
      <c r="BQ235" s="179"/>
      <c r="BR235" s="179"/>
      <c r="BS235" s="179"/>
      <c r="BT235" s="179"/>
      <c r="BU235" s="179"/>
      <c r="BV235" s="179"/>
      <c r="BW235" s="179"/>
      <c r="BX235" s="179"/>
      <c r="BY235" s="179"/>
      <c r="BZ235" s="179"/>
      <c r="CA235" s="179"/>
      <c r="CB235" s="179"/>
      <c r="CC235" s="179"/>
      <c r="CD235" s="179"/>
      <c r="CE235" s="179"/>
      <c r="CF235" s="179"/>
      <c r="CG235" s="179"/>
      <c r="CH235" s="179"/>
      <c r="CI235" s="179"/>
      <c r="CJ235" s="179"/>
      <c r="CK235" s="179"/>
      <c r="CL235" s="179"/>
      <c r="CM235" s="179"/>
      <c r="CN235" s="179"/>
      <c r="CO235" s="179"/>
      <c r="CP235" s="179"/>
      <c r="CQ235" s="179"/>
      <c r="CR235" s="179"/>
      <c r="CS235" s="179"/>
      <c r="CT235" s="179"/>
      <c r="CU235" s="179"/>
      <c r="CV235" s="179"/>
      <c r="CW235" s="179"/>
      <c r="CX235" s="179"/>
      <c r="CY235" s="179"/>
      <c r="CZ235" s="179"/>
      <c r="DA235" s="179"/>
      <c r="DB235" s="179"/>
      <c r="DC235" s="179"/>
      <c r="DD235" s="179"/>
      <c r="DE235" s="179"/>
      <c r="DF235" s="179"/>
      <c r="DG235" s="179"/>
      <c r="DH235" s="179"/>
      <c r="DI235" s="179"/>
      <c r="DJ235" s="179"/>
      <c r="DK235" s="179"/>
      <c r="DL235" s="179"/>
      <c r="DM235" s="179"/>
      <c r="DN235" s="179"/>
      <c r="DO235" s="179"/>
      <c r="DP235" s="179"/>
      <c r="DQ235" s="179"/>
      <c r="DR235" s="179"/>
      <c r="DS235" s="179"/>
      <c r="DT235" s="179"/>
      <c r="DU235" s="179"/>
      <c r="DV235" s="179"/>
      <c r="DW235" s="179"/>
      <c r="DX235" s="179"/>
    </row>
    <row r="236" spans="15:128" ht="13.5">
      <c r="O236" s="171"/>
      <c r="Q236" s="171"/>
      <c r="R236" s="171"/>
      <c r="S236" s="173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179"/>
      <c r="BN236" s="179"/>
      <c r="BO236" s="179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179"/>
      <c r="DD236" s="179"/>
      <c r="DE236" s="179"/>
      <c r="DF236" s="179"/>
      <c r="DG236" s="179"/>
      <c r="DH236" s="179"/>
      <c r="DI236" s="179"/>
      <c r="DJ236" s="179"/>
      <c r="DK236" s="179"/>
      <c r="DL236" s="179"/>
      <c r="DM236" s="179"/>
      <c r="DN236" s="179"/>
      <c r="DO236" s="179"/>
      <c r="DP236" s="179"/>
      <c r="DQ236" s="179"/>
      <c r="DR236" s="179"/>
      <c r="DS236" s="179"/>
      <c r="DT236" s="179"/>
      <c r="DU236" s="179"/>
      <c r="DV236" s="179"/>
      <c r="DW236" s="179"/>
      <c r="DX236" s="179"/>
    </row>
    <row r="237" spans="15:128" ht="13.5">
      <c r="O237" s="171"/>
      <c r="Q237" s="171"/>
      <c r="R237" s="171"/>
      <c r="S237" s="173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BM237" s="179"/>
      <c r="BN237" s="179"/>
      <c r="BO237" s="179"/>
      <c r="BP237" s="179"/>
      <c r="BQ237" s="179"/>
      <c r="BR237" s="179"/>
      <c r="BS237" s="179"/>
      <c r="BT237" s="179"/>
      <c r="BU237" s="179"/>
      <c r="BV237" s="179"/>
      <c r="BW237" s="179"/>
      <c r="BX237" s="179"/>
      <c r="BY237" s="179"/>
      <c r="BZ237" s="179"/>
      <c r="CA237" s="179"/>
      <c r="CB237" s="179"/>
      <c r="CC237" s="179"/>
      <c r="CD237" s="179"/>
      <c r="CE237" s="179"/>
      <c r="CF237" s="179"/>
      <c r="CG237" s="179"/>
      <c r="CH237" s="179"/>
      <c r="CI237" s="179"/>
      <c r="CJ237" s="179"/>
      <c r="CK237" s="179"/>
      <c r="CL237" s="179"/>
      <c r="CM237" s="179"/>
      <c r="CN237" s="179"/>
      <c r="CO237" s="179"/>
      <c r="CP237" s="179"/>
      <c r="CQ237" s="179"/>
      <c r="CR237" s="179"/>
      <c r="CS237" s="179"/>
      <c r="CT237" s="179"/>
      <c r="CU237" s="179"/>
      <c r="CV237" s="179"/>
      <c r="CW237" s="179"/>
      <c r="CX237" s="179"/>
      <c r="CY237" s="179"/>
      <c r="CZ237" s="179"/>
      <c r="DA237" s="179"/>
      <c r="DB237" s="179"/>
      <c r="DC237" s="179"/>
      <c r="DD237" s="179"/>
      <c r="DE237" s="179"/>
      <c r="DF237" s="179"/>
      <c r="DG237" s="179"/>
      <c r="DH237" s="179"/>
      <c r="DI237" s="179"/>
      <c r="DJ237" s="179"/>
      <c r="DK237" s="179"/>
      <c r="DL237" s="179"/>
      <c r="DM237" s="179"/>
      <c r="DN237" s="179"/>
      <c r="DO237" s="179"/>
      <c r="DP237" s="179"/>
      <c r="DQ237" s="179"/>
      <c r="DR237" s="179"/>
      <c r="DS237" s="179"/>
      <c r="DT237" s="179"/>
      <c r="DU237" s="179"/>
      <c r="DV237" s="179"/>
      <c r="DW237" s="179"/>
      <c r="DX237" s="179"/>
    </row>
    <row r="238" spans="15:128" ht="13.5">
      <c r="O238" s="171"/>
      <c r="Q238" s="171"/>
      <c r="R238" s="171"/>
      <c r="S238" s="173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BM238" s="179"/>
      <c r="BN238" s="179"/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</row>
    <row r="239" spans="15:128" ht="13.5">
      <c r="O239" s="171"/>
      <c r="Q239" s="171"/>
      <c r="R239" s="171"/>
      <c r="S239" s="173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</row>
    <row r="240" spans="15:128" ht="13.5">
      <c r="O240" s="171"/>
      <c r="Q240" s="171"/>
      <c r="R240" s="171"/>
      <c r="S240" s="173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9"/>
      <c r="CE240" s="179"/>
      <c r="CF240" s="179"/>
      <c r="CG240" s="179"/>
      <c r="CH240" s="179"/>
      <c r="CI240" s="179"/>
      <c r="CJ240" s="179"/>
      <c r="CK240" s="179"/>
      <c r="CL240" s="179"/>
      <c r="CM240" s="179"/>
      <c r="CN240" s="179"/>
      <c r="CO240" s="179"/>
      <c r="CP240" s="179"/>
      <c r="CQ240" s="179"/>
      <c r="CR240" s="179"/>
      <c r="CS240" s="179"/>
      <c r="CT240" s="179"/>
      <c r="CU240" s="179"/>
      <c r="CV240" s="179"/>
      <c r="CW240" s="179"/>
      <c r="CX240" s="179"/>
      <c r="CY240" s="179"/>
      <c r="CZ240" s="179"/>
      <c r="DA240" s="179"/>
      <c r="DB240" s="179"/>
      <c r="DC240" s="179"/>
      <c r="DD240" s="179"/>
      <c r="DE240" s="179"/>
      <c r="DF240" s="179"/>
      <c r="DG240" s="179"/>
      <c r="DH240" s="179"/>
      <c r="DI240" s="179"/>
      <c r="DJ240" s="179"/>
      <c r="DK240" s="179"/>
      <c r="DL240" s="179"/>
      <c r="DM240" s="179"/>
      <c r="DN240" s="179"/>
      <c r="DO240" s="179"/>
      <c r="DP240" s="179"/>
      <c r="DQ240" s="179"/>
      <c r="DR240" s="179"/>
      <c r="DS240" s="179"/>
      <c r="DT240" s="179"/>
      <c r="DU240" s="179"/>
      <c r="DV240" s="179"/>
      <c r="DW240" s="179"/>
      <c r="DX240" s="179"/>
    </row>
    <row r="241" spans="14:128" ht="13.5">
      <c r="N241" s="168"/>
      <c r="O241" s="171"/>
      <c r="Q241" s="171"/>
      <c r="R241" s="171"/>
      <c r="S241" s="173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79"/>
      <c r="BL241" s="179"/>
      <c r="BM241" s="179"/>
      <c r="BN241" s="179"/>
      <c r="BO241" s="179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  <c r="BZ241" s="179"/>
      <c r="CA241" s="179"/>
      <c r="CB241" s="179"/>
      <c r="CC241" s="179"/>
      <c r="CD241" s="179"/>
      <c r="CE241" s="179"/>
      <c r="CF241" s="179"/>
      <c r="CG241" s="179"/>
      <c r="CH241" s="179"/>
      <c r="CI241" s="179"/>
      <c r="CJ241" s="179"/>
      <c r="CK241" s="179"/>
      <c r="CL241" s="179"/>
      <c r="CM241" s="179"/>
      <c r="CN241" s="179"/>
      <c r="CO241" s="179"/>
      <c r="CP241" s="179"/>
      <c r="CQ241" s="179"/>
      <c r="CR241" s="179"/>
      <c r="CS241" s="179"/>
      <c r="CT241" s="179"/>
      <c r="CU241" s="179"/>
      <c r="CV241" s="179"/>
      <c r="CW241" s="179"/>
      <c r="CX241" s="179"/>
      <c r="CY241" s="179"/>
      <c r="CZ241" s="179"/>
      <c r="DA241" s="179"/>
      <c r="DB241" s="179"/>
      <c r="DC241" s="179"/>
      <c r="DD241" s="179"/>
      <c r="DE241" s="179"/>
      <c r="DF241" s="179"/>
      <c r="DG241" s="179"/>
      <c r="DH241" s="179"/>
      <c r="DI241" s="179"/>
      <c r="DJ241" s="179"/>
      <c r="DK241" s="179"/>
      <c r="DL241" s="179"/>
      <c r="DM241" s="179"/>
      <c r="DN241" s="179"/>
      <c r="DO241" s="179"/>
      <c r="DP241" s="179"/>
      <c r="DQ241" s="179"/>
      <c r="DR241" s="179"/>
      <c r="DS241" s="179"/>
      <c r="DT241" s="179"/>
      <c r="DU241" s="179"/>
      <c r="DV241" s="179"/>
      <c r="DW241" s="179"/>
      <c r="DX241" s="179"/>
    </row>
    <row r="242" spans="12:128" ht="13.5">
      <c r="L242" s="167"/>
      <c r="N242" s="168"/>
      <c r="O242" s="171"/>
      <c r="Q242" s="171"/>
      <c r="R242" s="171"/>
      <c r="S242" s="173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BZ242" s="179"/>
      <c r="CA242" s="179"/>
      <c r="CB242" s="179"/>
      <c r="CC242" s="179"/>
      <c r="CD242" s="179"/>
      <c r="CE242" s="179"/>
      <c r="CF242" s="179"/>
      <c r="CG242" s="179"/>
      <c r="CH242" s="179"/>
      <c r="CI242" s="179"/>
      <c r="CJ242" s="179"/>
      <c r="CK242" s="179"/>
      <c r="CL242" s="179"/>
      <c r="CM242" s="179"/>
      <c r="CN242" s="179"/>
      <c r="CO242" s="179"/>
      <c r="CP242" s="179"/>
      <c r="CQ242" s="179"/>
      <c r="CR242" s="179"/>
      <c r="CS242" s="179"/>
      <c r="CT242" s="179"/>
      <c r="CU242" s="179"/>
      <c r="CV242" s="179"/>
      <c r="CW242" s="179"/>
      <c r="CX242" s="179"/>
      <c r="CY242" s="179"/>
      <c r="CZ242" s="179"/>
      <c r="DA242" s="179"/>
      <c r="DB242" s="179"/>
      <c r="DC242" s="179"/>
      <c r="DD242" s="179"/>
      <c r="DE242" s="179"/>
      <c r="DF242" s="179"/>
      <c r="DG242" s="179"/>
      <c r="DH242" s="179"/>
      <c r="DI242" s="179"/>
      <c r="DJ242" s="179"/>
      <c r="DK242" s="179"/>
      <c r="DL242" s="179"/>
      <c r="DM242" s="179"/>
      <c r="DN242" s="179"/>
      <c r="DO242" s="179"/>
      <c r="DP242" s="179"/>
      <c r="DQ242" s="179"/>
      <c r="DR242" s="179"/>
      <c r="DS242" s="179"/>
      <c r="DT242" s="179"/>
      <c r="DU242" s="179"/>
      <c r="DV242" s="179"/>
      <c r="DW242" s="179"/>
      <c r="DX242" s="179"/>
    </row>
    <row r="243" spans="12:128" ht="13.5">
      <c r="L243" s="167"/>
      <c r="N243" s="168"/>
      <c r="O243" s="171"/>
      <c r="Q243" s="171"/>
      <c r="R243" s="171"/>
      <c r="S243" s="173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79"/>
      <c r="BN243" s="179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BZ243" s="179"/>
      <c r="CA243" s="179"/>
      <c r="CB243" s="179"/>
      <c r="CC243" s="179"/>
      <c r="CD243" s="179"/>
      <c r="CE243" s="179"/>
      <c r="CF243" s="179"/>
      <c r="CG243" s="179"/>
      <c r="CH243" s="179"/>
      <c r="CI243" s="179"/>
      <c r="CJ243" s="179"/>
      <c r="CK243" s="179"/>
      <c r="CL243" s="179"/>
      <c r="CM243" s="179"/>
      <c r="CN243" s="179"/>
      <c r="CO243" s="179"/>
      <c r="CP243" s="179"/>
      <c r="CQ243" s="179"/>
      <c r="CR243" s="179"/>
      <c r="CS243" s="179"/>
      <c r="CT243" s="179"/>
      <c r="CU243" s="179"/>
      <c r="CV243" s="179"/>
      <c r="CW243" s="179"/>
      <c r="CX243" s="179"/>
      <c r="CY243" s="179"/>
      <c r="CZ243" s="179"/>
      <c r="DA243" s="179"/>
      <c r="DB243" s="179"/>
      <c r="DC243" s="179"/>
      <c r="DD243" s="179"/>
      <c r="DE243" s="179"/>
      <c r="DF243" s="179"/>
      <c r="DG243" s="179"/>
      <c r="DH243" s="179"/>
      <c r="DI243" s="179"/>
      <c r="DJ243" s="179"/>
      <c r="DK243" s="179"/>
      <c r="DL243" s="179"/>
      <c r="DM243" s="179"/>
      <c r="DN243" s="179"/>
      <c r="DO243" s="179"/>
      <c r="DP243" s="179"/>
      <c r="DQ243" s="179"/>
      <c r="DR243" s="179"/>
      <c r="DS243" s="179"/>
      <c r="DT243" s="179"/>
      <c r="DU243" s="179"/>
      <c r="DV243" s="179"/>
      <c r="DW243" s="179"/>
      <c r="DX243" s="179"/>
    </row>
    <row r="244" spans="12:128" ht="13.5">
      <c r="L244" s="167"/>
      <c r="N244" s="168"/>
      <c r="O244" s="171"/>
      <c r="Q244" s="171"/>
      <c r="R244" s="171"/>
      <c r="S244" s="173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79"/>
      <c r="BN244" s="179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BZ244" s="179"/>
      <c r="CA244" s="179"/>
      <c r="CB244" s="179"/>
      <c r="CC244" s="179"/>
      <c r="CD244" s="179"/>
      <c r="CE244" s="179"/>
      <c r="CF244" s="179"/>
      <c r="CG244" s="179"/>
      <c r="CH244" s="179"/>
      <c r="CI244" s="179"/>
      <c r="CJ244" s="179"/>
      <c r="CK244" s="179"/>
      <c r="CL244" s="179"/>
      <c r="CM244" s="179"/>
      <c r="CN244" s="179"/>
      <c r="CO244" s="179"/>
      <c r="CP244" s="179"/>
      <c r="CQ244" s="179"/>
      <c r="CR244" s="179"/>
      <c r="CS244" s="179"/>
      <c r="CT244" s="179"/>
      <c r="CU244" s="179"/>
      <c r="CV244" s="179"/>
      <c r="CW244" s="179"/>
      <c r="CX244" s="179"/>
      <c r="CY244" s="179"/>
      <c r="CZ244" s="179"/>
      <c r="DA244" s="179"/>
      <c r="DB244" s="179"/>
      <c r="DC244" s="179"/>
      <c r="DD244" s="179"/>
      <c r="DE244" s="179"/>
      <c r="DF244" s="179"/>
      <c r="DG244" s="179"/>
      <c r="DH244" s="179"/>
      <c r="DI244" s="179"/>
      <c r="DJ244" s="179"/>
      <c r="DK244" s="179"/>
      <c r="DL244" s="179"/>
      <c r="DM244" s="179"/>
      <c r="DN244" s="179"/>
      <c r="DO244" s="179"/>
      <c r="DP244" s="179"/>
      <c r="DQ244" s="179"/>
      <c r="DR244" s="179"/>
      <c r="DS244" s="179"/>
      <c r="DT244" s="179"/>
      <c r="DU244" s="179"/>
      <c r="DV244" s="179"/>
      <c r="DW244" s="179"/>
      <c r="DX244" s="179"/>
    </row>
    <row r="245" spans="12:128" ht="13.5">
      <c r="L245" s="167"/>
      <c r="N245" s="168"/>
      <c r="O245" s="171"/>
      <c r="Q245" s="171"/>
      <c r="R245" s="171"/>
      <c r="S245" s="173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79"/>
      <c r="BN245" s="179"/>
      <c r="BO245" s="179"/>
      <c r="BP245" s="179"/>
      <c r="BQ245" s="179"/>
      <c r="BR245" s="179"/>
      <c r="BS245" s="179"/>
      <c r="BT245" s="179"/>
      <c r="BU245" s="179"/>
      <c r="BV245" s="179"/>
      <c r="BW245" s="179"/>
      <c r="BX245" s="179"/>
      <c r="BY245" s="179"/>
      <c r="BZ245" s="179"/>
      <c r="CA245" s="179"/>
      <c r="CB245" s="179"/>
      <c r="CC245" s="179"/>
      <c r="CD245" s="179"/>
      <c r="CE245" s="179"/>
      <c r="CF245" s="179"/>
      <c r="CG245" s="179"/>
      <c r="CH245" s="179"/>
      <c r="CI245" s="179"/>
      <c r="CJ245" s="179"/>
      <c r="CK245" s="179"/>
      <c r="CL245" s="179"/>
      <c r="CM245" s="179"/>
      <c r="CN245" s="179"/>
      <c r="CO245" s="179"/>
      <c r="CP245" s="179"/>
      <c r="CQ245" s="179"/>
      <c r="CR245" s="179"/>
      <c r="CS245" s="179"/>
      <c r="CT245" s="179"/>
      <c r="CU245" s="179"/>
      <c r="CV245" s="179"/>
      <c r="CW245" s="179"/>
      <c r="CX245" s="179"/>
      <c r="CY245" s="179"/>
      <c r="CZ245" s="179"/>
      <c r="DA245" s="179"/>
      <c r="DB245" s="179"/>
      <c r="DC245" s="179"/>
      <c r="DD245" s="179"/>
      <c r="DE245" s="179"/>
      <c r="DF245" s="179"/>
      <c r="DG245" s="179"/>
      <c r="DH245" s="179"/>
      <c r="DI245" s="179"/>
      <c r="DJ245" s="179"/>
      <c r="DK245" s="179"/>
      <c r="DL245" s="179"/>
      <c r="DM245" s="179"/>
      <c r="DN245" s="179"/>
      <c r="DO245" s="179"/>
      <c r="DP245" s="179"/>
      <c r="DQ245" s="179"/>
      <c r="DR245" s="179"/>
      <c r="DS245" s="179"/>
      <c r="DT245" s="179"/>
      <c r="DU245" s="179"/>
      <c r="DV245" s="179"/>
      <c r="DW245" s="179"/>
      <c r="DX245" s="179"/>
    </row>
    <row r="246" spans="12:128" ht="13.5">
      <c r="L246" s="167"/>
      <c r="N246" s="168"/>
      <c r="O246" s="171"/>
      <c r="Q246" s="171"/>
      <c r="R246" s="171"/>
      <c r="S246" s="173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79"/>
      <c r="BN246" s="179"/>
      <c r="BO246" s="179"/>
      <c r="BP246" s="179"/>
      <c r="BQ246" s="179"/>
      <c r="BR246" s="179"/>
      <c r="BS246" s="179"/>
      <c r="BT246" s="179"/>
      <c r="BU246" s="179"/>
      <c r="BV246" s="179"/>
      <c r="BW246" s="179"/>
      <c r="BX246" s="179"/>
      <c r="BY246" s="179"/>
      <c r="BZ246" s="179"/>
      <c r="CA246" s="179"/>
      <c r="CB246" s="179"/>
      <c r="CC246" s="179"/>
      <c r="CD246" s="179"/>
      <c r="CE246" s="179"/>
      <c r="CF246" s="179"/>
      <c r="CG246" s="179"/>
      <c r="CH246" s="179"/>
      <c r="CI246" s="179"/>
      <c r="CJ246" s="179"/>
      <c r="CK246" s="179"/>
      <c r="CL246" s="179"/>
      <c r="CM246" s="179"/>
      <c r="CN246" s="179"/>
      <c r="CO246" s="179"/>
      <c r="CP246" s="179"/>
      <c r="CQ246" s="179"/>
      <c r="CR246" s="179"/>
      <c r="CS246" s="179"/>
      <c r="CT246" s="179"/>
      <c r="CU246" s="179"/>
      <c r="CV246" s="179"/>
      <c r="CW246" s="179"/>
      <c r="CX246" s="179"/>
      <c r="CY246" s="179"/>
      <c r="CZ246" s="179"/>
      <c r="DA246" s="179"/>
      <c r="DB246" s="179"/>
      <c r="DC246" s="179"/>
      <c r="DD246" s="179"/>
      <c r="DE246" s="179"/>
      <c r="DF246" s="179"/>
      <c r="DG246" s="179"/>
      <c r="DH246" s="179"/>
      <c r="DI246" s="179"/>
      <c r="DJ246" s="179"/>
      <c r="DK246" s="179"/>
      <c r="DL246" s="179"/>
      <c r="DM246" s="179"/>
      <c r="DN246" s="179"/>
      <c r="DO246" s="179"/>
      <c r="DP246" s="179"/>
      <c r="DQ246" s="179"/>
      <c r="DR246" s="179"/>
      <c r="DS246" s="179"/>
      <c r="DT246" s="179"/>
      <c r="DU246" s="179"/>
      <c r="DV246" s="179"/>
      <c r="DW246" s="179"/>
      <c r="DX246" s="179"/>
    </row>
    <row r="247" spans="12:128" ht="13.5">
      <c r="L247" s="167"/>
      <c r="N247" s="168"/>
      <c r="O247" s="171"/>
      <c r="Q247" s="171"/>
      <c r="R247" s="171"/>
      <c r="S247" s="173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79"/>
      <c r="BN247" s="179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BZ247" s="179"/>
      <c r="CA247" s="179"/>
      <c r="CB247" s="179"/>
      <c r="CC247" s="179"/>
      <c r="CD247" s="179"/>
      <c r="CE247" s="179"/>
      <c r="CF247" s="179"/>
      <c r="CG247" s="179"/>
      <c r="CH247" s="179"/>
      <c r="CI247" s="179"/>
      <c r="CJ247" s="179"/>
      <c r="CK247" s="179"/>
      <c r="CL247" s="179"/>
      <c r="CM247" s="179"/>
      <c r="CN247" s="179"/>
      <c r="CO247" s="179"/>
      <c r="CP247" s="179"/>
      <c r="CQ247" s="179"/>
      <c r="CR247" s="179"/>
      <c r="CS247" s="179"/>
      <c r="CT247" s="179"/>
      <c r="CU247" s="179"/>
      <c r="CV247" s="179"/>
      <c r="CW247" s="179"/>
      <c r="CX247" s="179"/>
      <c r="CY247" s="179"/>
      <c r="CZ247" s="179"/>
      <c r="DA247" s="179"/>
      <c r="DB247" s="179"/>
      <c r="DC247" s="179"/>
      <c r="DD247" s="179"/>
      <c r="DE247" s="179"/>
      <c r="DF247" s="179"/>
      <c r="DG247" s="179"/>
      <c r="DH247" s="179"/>
      <c r="DI247" s="179"/>
      <c r="DJ247" s="179"/>
      <c r="DK247" s="179"/>
      <c r="DL247" s="179"/>
      <c r="DM247" s="179"/>
      <c r="DN247" s="179"/>
      <c r="DO247" s="179"/>
      <c r="DP247" s="179"/>
      <c r="DQ247" s="179"/>
      <c r="DR247" s="179"/>
      <c r="DS247" s="179"/>
      <c r="DT247" s="179"/>
      <c r="DU247" s="179"/>
      <c r="DV247" s="179"/>
      <c r="DW247" s="179"/>
      <c r="DX247" s="179"/>
    </row>
    <row r="248" spans="12:128" ht="13.5">
      <c r="L248" s="167"/>
      <c r="N248" s="168"/>
      <c r="O248" s="171"/>
      <c r="Q248" s="171"/>
      <c r="R248" s="171"/>
      <c r="S248" s="173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79"/>
      <c r="BN248" s="179"/>
      <c r="BO248" s="179"/>
      <c r="BP248" s="179"/>
      <c r="BQ248" s="179"/>
      <c r="BR248" s="179"/>
      <c r="BS248" s="179"/>
      <c r="BT248" s="179"/>
      <c r="BU248" s="179"/>
      <c r="BV248" s="179"/>
      <c r="BW248" s="179"/>
      <c r="BX248" s="179"/>
      <c r="BY248" s="179"/>
      <c r="BZ248" s="179"/>
      <c r="CA248" s="179"/>
      <c r="CB248" s="179"/>
      <c r="CC248" s="179"/>
      <c r="CD248" s="179"/>
      <c r="CE248" s="179"/>
      <c r="CF248" s="179"/>
      <c r="CG248" s="179"/>
      <c r="CH248" s="179"/>
      <c r="CI248" s="179"/>
      <c r="CJ248" s="179"/>
      <c r="CK248" s="179"/>
      <c r="CL248" s="179"/>
      <c r="CM248" s="179"/>
      <c r="CN248" s="179"/>
      <c r="CO248" s="179"/>
      <c r="CP248" s="179"/>
      <c r="CQ248" s="179"/>
      <c r="CR248" s="179"/>
      <c r="CS248" s="179"/>
      <c r="CT248" s="179"/>
      <c r="CU248" s="179"/>
      <c r="CV248" s="179"/>
      <c r="CW248" s="179"/>
      <c r="CX248" s="179"/>
      <c r="CY248" s="179"/>
      <c r="CZ248" s="179"/>
      <c r="DA248" s="179"/>
      <c r="DB248" s="179"/>
      <c r="DC248" s="179"/>
      <c r="DD248" s="179"/>
      <c r="DE248" s="179"/>
      <c r="DF248" s="179"/>
      <c r="DG248" s="179"/>
      <c r="DH248" s="179"/>
      <c r="DI248" s="179"/>
      <c r="DJ248" s="179"/>
      <c r="DK248" s="179"/>
      <c r="DL248" s="179"/>
      <c r="DM248" s="179"/>
      <c r="DN248" s="179"/>
      <c r="DO248" s="179"/>
      <c r="DP248" s="179"/>
      <c r="DQ248" s="179"/>
      <c r="DR248" s="179"/>
      <c r="DS248" s="179"/>
      <c r="DT248" s="179"/>
      <c r="DU248" s="179"/>
      <c r="DV248" s="179"/>
      <c r="DW248" s="179"/>
      <c r="DX248" s="179"/>
    </row>
    <row r="249" spans="12:128" ht="13.5">
      <c r="L249" s="167"/>
      <c r="N249" s="168"/>
      <c r="O249" s="171"/>
      <c r="Q249" s="171"/>
      <c r="R249" s="171"/>
      <c r="S249" s="173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79"/>
      <c r="BN249" s="179"/>
      <c r="BO249" s="179"/>
      <c r="BP249" s="179"/>
      <c r="BQ249" s="179"/>
      <c r="BR249" s="179"/>
      <c r="BS249" s="179"/>
      <c r="BT249" s="179"/>
      <c r="BU249" s="179"/>
      <c r="BV249" s="179"/>
      <c r="BW249" s="179"/>
      <c r="BX249" s="179"/>
      <c r="BY249" s="179"/>
      <c r="BZ249" s="179"/>
      <c r="CA249" s="179"/>
      <c r="CB249" s="179"/>
      <c r="CC249" s="179"/>
      <c r="CD249" s="179"/>
      <c r="CE249" s="179"/>
      <c r="CF249" s="179"/>
      <c r="CG249" s="179"/>
      <c r="CH249" s="179"/>
      <c r="CI249" s="179"/>
      <c r="CJ249" s="179"/>
      <c r="CK249" s="179"/>
      <c r="CL249" s="179"/>
      <c r="CM249" s="179"/>
      <c r="CN249" s="179"/>
      <c r="CO249" s="179"/>
      <c r="CP249" s="179"/>
      <c r="CQ249" s="179"/>
      <c r="CR249" s="179"/>
      <c r="CS249" s="179"/>
      <c r="CT249" s="179"/>
      <c r="CU249" s="179"/>
      <c r="CV249" s="179"/>
      <c r="CW249" s="179"/>
      <c r="CX249" s="179"/>
      <c r="CY249" s="179"/>
      <c r="CZ249" s="179"/>
      <c r="DA249" s="179"/>
      <c r="DB249" s="179"/>
      <c r="DC249" s="179"/>
      <c r="DD249" s="179"/>
      <c r="DE249" s="179"/>
      <c r="DF249" s="179"/>
      <c r="DG249" s="179"/>
      <c r="DH249" s="179"/>
      <c r="DI249" s="179"/>
      <c r="DJ249" s="179"/>
      <c r="DK249" s="179"/>
      <c r="DL249" s="179"/>
      <c r="DM249" s="179"/>
      <c r="DN249" s="179"/>
      <c r="DO249" s="179"/>
      <c r="DP249" s="179"/>
      <c r="DQ249" s="179"/>
      <c r="DR249" s="179"/>
      <c r="DS249" s="179"/>
      <c r="DT249" s="179"/>
      <c r="DU249" s="179"/>
      <c r="DV249" s="179"/>
      <c r="DW249" s="179"/>
      <c r="DX249" s="179"/>
    </row>
    <row r="250" spans="12:128" ht="13.5">
      <c r="L250" s="167"/>
      <c r="N250" s="168"/>
      <c r="O250" s="171"/>
      <c r="Q250" s="171"/>
      <c r="R250" s="171"/>
      <c r="S250" s="173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79"/>
      <c r="BN250" s="179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179"/>
      <c r="BZ250" s="179"/>
      <c r="CA250" s="179"/>
      <c r="CB250" s="179"/>
      <c r="CC250" s="179"/>
      <c r="CD250" s="179"/>
      <c r="CE250" s="179"/>
      <c r="CF250" s="179"/>
      <c r="CG250" s="179"/>
      <c r="CH250" s="179"/>
      <c r="CI250" s="179"/>
      <c r="CJ250" s="179"/>
      <c r="CK250" s="179"/>
      <c r="CL250" s="179"/>
      <c r="CM250" s="179"/>
      <c r="CN250" s="179"/>
      <c r="CO250" s="179"/>
      <c r="CP250" s="179"/>
      <c r="CQ250" s="179"/>
      <c r="CR250" s="179"/>
      <c r="CS250" s="179"/>
      <c r="CT250" s="179"/>
      <c r="CU250" s="179"/>
      <c r="CV250" s="179"/>
      <c r="CW250" s="179"/>
      <c r="CX250" s="179"/>
      <c r="CY250" s="179"/>
      <c r="CZ250" s="179"/>
      <c r="DA250" s="179"/>
      <c r="DB250" s="179"/>
      <c r="DC250" s="179"/>
      <c r="DD250" s="179"/>
      <c r="DE250" s="179"/>
      <c r="DF250" s="179"/>
      <c r="DG250" s="179"/>
      <c r="DH250" s="179"/>
      <c r="DI250" s="179"/>
      <c r="DJ250" s="179"/>
      <c r="DK250" s="179"/>
      <c r="DL250" s="179"/>
      <c r="DM250" s="179"/>
      <c r="DN250" s="179"/>
      <c r="DO250" s="179"/>
      <c r="DP250" s="179"/>
      <c r="DQ250" s="179"/>
      <c r="DR250" s="179"/>
      <c r="DS250" s="179"/>
      <c r="DT250" s="179"/>
      <c r="DU250" s="179"/>
      <c r="DV250" s="179"/>
      <c r="DW250" s="179"/>
      <c r="DX250" s="179"/>
    </row>
    <row r="251" spans="12:128" ht="13.5">
      <c r="L251" s="167"/>
      <c r="N251" s="168"/>
      <c r="O251" s="171"/>
      <c r="Q251" s="171"/>
      <c r="R251" s="171"/>
      <c r="S251" s="173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BZ251" s="179"/>
      <c r="CA251" s="179"/>
      <c r="CB251" s="179"/>
      <c r="CC251" s="179"/>
      <c r="CD251" s="179"/>
      <c r="CE251" s="179"/>
      <c r="CF251" s="179"/>
      <c r="CG251" s="179"/>
      <c r="CH251" s="179"/>
      <c r="CI251" s="179"/>
      <c r="CJ251" s="179"/>
      <c r="CK251" s="179"/>
      <c r="CL251" s="179"/>
      <c r="CM251" s="179"/>
      <c r="CN251" s="179"/>
      <c r="CO251" s="179"/>
      <c r="CP251" s="179"/>
      <c r="CQ251" s="179"/>
      <c r="CR251" s="179"/>
      <c r="CS251" s="179"/>
      <c r="CT251" s="179"/>
      <c r="CU251" s="179"/>
      <c r="CV251" s="179"/>
      <c r="CW251" s="179"/>
      <c r="CX251" s="179"/>
      <c r="CY251" s="179"/>
      <c r="CZ251" s="179"/>
      <c r="DA251" s="179"/>
      <c r="DB251" s="179"/>
      <c r="DC251" s="179"/>
      <c r="DD251" s="179"/>
      <c r="DE251" s="179"/>
      <c r="DF251" s="179"/>
      <c r="DG251" s="179"/>
      <c r="DH251" s="179"/>
      <c r="DI251" s="179"/>
      <c r="DJ251" s="179"/>
      <c r="DK251" s="179"/>
      <c r="DL251" s="179"/>
      <c r="DM251" s="179"/>
      <c r="DN251" s="179"/>
      <c r="DO251" s="179"/>
      <c r="DP251" s="179"/>
      <c r="DQ251" s="179"/>
      <c r="DR251" s="179"/>
      <c r="DS251" s="179"/>
      <c r="DT251" s="179"/>
      <c r="DU251" s="179"/>
      <c r="DV251" s="179"/>
      <c r="DW251" s="179"/>
      <c r="DX251" s="179"/>
    </row>
    <row r="252" spans="12:128" ht="13.5">
      <c r="L252" s="167"/>
      <c r="N252" s="168"/>
      <c r="O252" s="171"/>
      <c r="Q252" s="171"/>
      <c r="R252" s="171"/>
      <c r="S252" s="173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79"/>
      <c r="BM252" s="179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79"/>
      <c r="BZ252" s="179"/>
      <c r="CA252" s="179"/>
      <c r="CB252" s="179"/>
      <c r="CC252" s="179"/>
      <c r="CD252" s="179"/>
      <c r="CE252" s="179"/>
      <c r="CF252" s="179"/>
      <c r="CG252" s="179"/>
      <c r="CH252" s="179"/>
      <c r="CI252" s="179"/>
      <c r="CJ252" s="179"/>
      <c r="CK252" s="179"/>
      <c r="CL252" s="179"/>
      <c r="CM252" s="179"/>
      <c r="CN252" s="179"/>
      <c r="CO252" s="179"/>
      <c r="CP252" s="179"/>
      <c r="CQ252" s="179"/>
      <c r="CR252" s="179"/>
      <c r="CS252" s="179"/>
      <c r="CT252" s="179"/>
      <c r="CU252" s="179"/>
      <c r="CV252" s="179"/>
      <c r="CW252" s="179"/>
      <c r="CX252" s="179"/>
      <c r="CY252" s="179"/>
      <c r="CZ252" s="179"/>
      <c r="DA252" s="179"/>
      <c r="DB252" s="179"/>
      <c r="DC252" s="179"/>
      <c r="DD252" s="179"/>
      <c r="DE252" s="179"/>
      <c r="DF252" s="179"/>
      <c r="DG252" s="179"/>
      <c r="DH252" s="179"/>
      <c r="DI252" s="179"/>
      <c r="DJ252" s="179"/>
      <c r="DK252" s="179"/>
      <c r="DL252" s="179"/>
      <c r="DM252" s="179"/>
      <c r="DN252" s="179"/>
      <c r="DO252" s="179"/>
      <c r="DP252" s="179"/>
      <c r="DQ252" s="179"/>
      <c r="DR252" s="179"/>
      <c r="DS252" s="179"/>
      <c r="DT252" s="179"/>
      <c r="DU252" s="179"/>
      <c r="DV252" s="179"/>
      <c r="DW252" s="179"/>
      <c r="DX252" s="179"/>
    </row>
    <row r="253" spans="12:128" ht="13.5">
      <c r="L253" s="167"/>
      <c r="N253" s="168"/>
      <c r="O253" s="171"/>
      <c r="Q253" s="171"/>
      <c r="R253" s="171"/>
      <c r="S253" s="173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79"/>
      <c r="BZ253" s="179"/>
      <c r="CA253" s="179"/>
      <c r="CB253" s="179"/>
      <c r="CC253" s="179"/>
      <c r="CD253" s="179"/>
      <c r="CE253" s="179"/>
      <c r="CF253" s="179"/>
      <c r="CG253" s="179"/>
      <c r="CH253" s="179"/>
      <c r="CI253" s="179"/>
      <c r="CJ253" s="179"/>
      <c r="CK253" s="179"/>
      <c r="CL253" s="179"/>
      <c r="CM253" s="179"/>
      <c r="CN253" s="179"/>
      <c r="CO253" s="179"/>
      <c r="CP253" s="179"/>
      <c r="CQ253" s="179"/>
      <c r="CR253" s="179"/>
      <c r="CS253" s="179"/>
      <c r="CT253" s="179"/>
      <c r="CU253" s="179"/>
      <c r="CV253" s="179"/>
      <c r="CW253" s="179"/>
      <c r="CX253" s="179"/>
      <c r="CY253" s="179"/>
      <c r="CZ253" s="179"/>
      <c r="DA253" s="179"/>
      <c r="DB253" s="179"/>
      <c r="DC253" s="179"/>
      <c r="DD253" s="179"/>
      <c r="DE253" s="179"/>
      <c r="DF253" s="179"/>
      <c r="DG253" s="179"/>
      <c r="DH253" s="179"/>
      <c r="DI253" s="179"/>
      <c r="DJ253" s="179"/>
      <c r="DK253" s="179"/>
      <c r="DL253" s="179"/>
      <c r="DM253" s="179"/>
      <c r="DN253" s="179"/>
      <c r="DO253" s="179"/>
      <c r="DP253" s="179"/>
      <c r="DQ253" s="179"/>
      <c r="DR253" s="179"/>
      <c r="DS253" s="179"/>
      <c r="DT253" s="179"/>
      <c r="DU253" s="179"/>
      <c r="DV253" s="179"/>
      <c r="DW253" s="179"/>
      <c r="DX253" s="179"/>
    </row>
    <row r="254" spans="12:128" ht="13.5">
      <c r="L254" s="167"/>
      <c r="N254" s="168"/>
      <c r="O254" s="171"/>
      <c r="Q254" s="171"/>
      <c r="R254" s="171"/>
      <c r="S254" s="173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79"/>
      <c r="BH254" s="179"/>
      <c r="BI254" s="179"/>
      <c r="BJ254" s="179"/>
      <c r="BK254" s="179"/>
      <c r="BL254" s="179"/>
      <c r="BM254" s="179"/>
      <c r="BN254" s="179"/>
      <c r="BO254" s="179"/>
      <c r="BP254" s="179"/>
      <c r="BQ254" s="179"/>
      <c r="BR254" s="179"/>
      <c r="BS254" s="179"/>
      <c r="BT254" s="179"/>
      <c r="BU254" s="179"/>
      <c r="BV254" s="179"/>
      <c r="BW254" s="179"/>
      <c r="BX254" s="179"/>
      <c r="BY254" s="179"/>
      <c r="BZ254" s="179"/>
      <c r="CA254" s="179"/>
      <c r="CB254" s="179"/>
      <c r="CC254" s="179"/>
      <c r="CD254" s="179"/>
      <c r="CE254" s="179"/>
      <c r="CF254" s="179"/>
      <c r="CG254" s="179"/>
      <c r="CH254" s="179"/>
      <c r="CI254" s="179"/>
      <c r="CJ254" s="179"/>
      <c r="CK254" s="179"/>
      <c r="CL254" s="179"/>
      <c r="CM254" s="179"/>
      <c r="CN254" s="179"/>
      <c r="CO254" s="179"/>
      <c r="CP254" s="179"/>
      <c r="CQ254" s="179"/>
      <c r="CR254" s="179"/>
      <c r="CS254" s="179"/>
      <c r="CT254" s="179"/>
      <c r="CU254" s="179"/>
      <c r="CV254" s="179"/>
      <c r="CW254" s="179"/>
      <c r="CX254" s="179"/>
      <c r="CY254" s="179"/>
      <c r="CZ254" s="179"/>
      <c r="DA254" s="179"/>
      <c r="DB254" s="179"/>
      <c r="DC254" s="179"/>
      <c r="DD254" s="179"/>
      <c r="DE254" s="179"/>
      <c r="DF254" s="179"/>
      <c r="DG254" s="179"/>
      <c r="DH254" s="179"/>
      <c r="DI254" s="179"/>
      <c r="DJ254" s="179"/>
      <c r="DK254" s="179"/>
      <c r="DL254" s="179"/>
      <c r="DM254" s="179"/>
      <c r="DN254" s="179"/>
      <c r="DO254" s="179"/>
      <c r="DP254" s="179"/>
      <c r="DQ254" s="179"/>
      <c r="DR254" s="179"/>
      <c r="DS254" s="179"/>
      <c r="DT254" s="179"/>
      <c r="DU254" s="179"/>
      <c r="DV254" s="179"/>
      <c r="DW254" s="179"/>
      <c r="DX254" s="179"/>
    </row>
    <row r="255" spans="12:128" ht="13.5">
      <c r="L255" s="167"/>
      <c r="N255" s="168"/>
      <c r="O255" s="171"/>
      <c r="Q255" s="171"/>
      <c r="R255" s="171"/>
      <c r="S255" s="173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179"/>
      <c r="BN255" s="179"/>
      <c r="BO255" s="179"/>
      <c r="BP255" s="179"/>
      <c r="BQ255" s="179"/>
      <c r="BR255" s="179"/>
      <c r="BS255" s="179"/>
      <c r="BT255" s="179"/>
      <c r="BU255" s="179"/>
      <c r="BV255" s="179"/>
      <c r="BW255" s="179"/>
      <c r="BX255" s="179"/>
      <c r="BY255" s="179"/>
      <c r="BZ255" s="179"/>
      <c r="CA255" s="179"/>
      <c r="CB255" s="179"/>
      <c r="CC255" s="179"/>
      <c r="CD255" s="179"/>
      <c r="CE255" s="179"/>
      <c r="CF255" s="179"/>
      <c r="CG255" s="179"/>
      <c r="CH255" s="179"/>
      <c r="CI255" s="179"/>
      <c r="CJ255" s="179"/>
      <c r="CK255" s="179"/>
      <c r="CL255" s="179"/>
      <c r="CM255" s="179"/>
      <c r="CN255" s="179"/>
      <c r="CO255" s="179"/>
      <c r="CP255" s="179"/>
      <c r="CQ255" s="179"/>
      <c r="CR255" s="179"/>
      <c r="CS255" s="179"/>
      <c r="CT255" s="179"/>
      <c r="CU255" s="179"/>
      <c r="CV255" s="179"/>
      <c r="CW255" s="179"/>
      <c r="CX255" s="179"/>
      <c r="CY255" s="179"/>
      <c r="CZ255" s="179"/>
      <c r="DA255" s="179"/>
      <c r="DB255" s="179"/>
      <c r="DC255" s="179"/>
      <c r="DD255" s="179"/>
      <c r="DE255" s="179"/>
      <c r="DF255" s="179"/>
      <c r="DG255" s="179"/>
      <c r="DH255" s="179"/>
      <c r="DI255" s="179"/>
      <c r="DJ255" s="179"/>
      <c r="DK255" s="179"/>
      <c r="DL255" s="179"/>
      <c r="DM255" s="179"/>
      <c r="DN255" s="179"/>
      <c r="DO255" s="179"/>
      <c r="DP255" s="179"/>
      <c r="DQ255" s="179"/>
      <c r="DR255" s="179"/>
      <c r="DS255" s="179"/>
      <c r="DT255" s="179"/>
      <c r="DU255" s="179"/>
      <c r="DV255" s="179"/>
      <c r="DW255" s="179"/>
      <c r="DX255" s="179"/>
    </row>
    <row r="256" spans="12:128" ht="13.5">
      <c r="L256" s="167"/>
      <c r="N256" s="168"/>
      <c r="O256" s="171"/>
      <c r="Q256" s="171"/>
      <c r="R256" s="171"/>
      <c r="S256" s="173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179"/>
      <c r="AE256" s="179"/>
      <c r="AF256" s="179"/>
      <c r="AG256" s="179"/>
      <c r="AH256" s="179"/>
      <c r="AI256" s="179"/>
      <c r="AJ256" s="179"/>
      <c r="AK256" s="179"/>
      <c r="AL256" s="179"/>
      <c r="AM256" s="179"/>
      <c r="AN256" s="179"/>
      <c r="AO256" s="179"/>
      <c r="AP256" s="179"/>
      <c r="AQ256" s="179"/>
      <c r="AR256" s="179"/>
      <c r="AS256" s="179"/>
      <c r="AT256" s="179"/>
      <c r="AU256" s="179"/>
      <c r="AV256" s="179"/>
      <c r="AW256" s="179"/>
      <c r="AX256" s="179"/>
      <c r="AY256" s="179"/>
      <c r="AZ256" s="179"/>
      <c r="BA256" s="179"/>
      <c r="BB256" s="179"/>
      <c r="BC256" s="179"/>
      <c r="BD256" s="179"/>
      <c r="BE256" s="179"/>
      <c r="BF256" s="179"/>
      <c r="BG256" s="179"/>
      <c r="BH256" s="179"/>
      <c r="BI256" s="179"/>
      <c r="BJ256" s="179"/>
      <c r="BK256" s="179"/>
      <c r="BL256" s="179"/>
      <c r="BM256" s="179"/>
      <c r="BN256" s="179"/>
      <c r="BO256" s="179"/>
      <c r="BP256" s="179"/>
      <c r="BQ256" s="179"/>
      <c r="BR256" s="179"/>
      <c r="BS256" s="179"/>
      <c r="BT256" s="179"/>
      <c r="BU256" s="179"/>
      <c r="BV256" s="179"/>
      <c r="BW256" s="179"/>
      <c r="BX256" s="179"/>
      <c r="BY256" s="179"/>
      <c r="BZ256" s="179"/>
      <c r="CA256" s="179"/>
      <c r="CB256" s="179"/>
      <c r="CC256" s="179"/>
      <c r="CD256" s="179"/>
      <c r="CE256" s="179"/>
      <c r="CF256" s="179"/>
      <c r="CG256" s="179"/>
      <c r="CH256" s="179"/>
      <c r="CI256" s="179"/>
      <c r="CJ256" s="179"/>
      <c r="CK256" s="179"/>
      <c r="CL256" s="179"/>
      <c r="CM256" s="179"/>
      <c r="CN256" s="179"/>
      <c r="CO256" s="179"/>
      <c r="CP256" s="179"/>
      <c r="CQ256" s="179"/>
      <c r="CR256" s="179"/>
      <c r="CS256" s="179"/>
      <c r="CT256" s="179"/>
      <c r="CU256" s="179"/>
      <c r="CV256" s="179"/>
      <c r="CW256" s="179"/>
      <c r="CX256" s="179"/>
      <c r="CY256" s="179"/>
      <c r="CZ256" s="179"/>
      <c r="DA256" s="179"/>
      <c r="DB256" s="179"/>
      <c r="DC256" s="179"/>
      <c r="DD256" s="179"/>
      <c r="DE256" s="179"/>
      <c r="DF256" s="179"/>
      <c r="DG256" s="179"/>
      <c r="DH256" s="179"/>
      <c r="DI256" s="179"/>
      <c r="DJ256" s="179"/>
      <c r="DK256" s="179"/>
      <c r="DL256" s="179"/>
      <c r="DM256" s="179"/>
      <c r="DN256" s="179"/>
      <c r="DO256" s="179"/>
      <c r="DP256" s="179"/>
      <c r="DQ256" s="179"/>
      <c r="DR256" s="179"/>
      <c r="DS256" s="179"/>
      <c r="DT256" s="179"/>
      <c r="DU256" s="179"/>
      <c r="DV256" s="179"/>
      <c r="DW256" s="179"/>
      <c r="DX256" s="179"/>
    </row>
    <row r="257" spans="12:128" ht="13.5">
      <c r="L257" s="167"/>
      <c r="N257" s="168"/>
      <c r="O257" s="171"/>
      <c r="Q257" s="171"/>
      <c r="R257" s="171"/>
      <c r="S257" s="173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79"/>
      <c r="BQ257" s="179"/>
      <c r="BR257" s="179"/>
      <c r="BS257" s="179"/>
      <c r="BT257" s="179"/>
      <c r="BU257" s="179"/>
      <c r="BV257" s="179"/>
      <c r="BW257" s="179"/>
      <c r="BX257" s="179"/>
      <c r="BY257" s="179"/>
      <c r="BZ257" s="179"/>
      <c r="CA257" s="179"/>
      <c r="CB257" s="179"/>
      <c r="CC257" s="179"/>
      <c r="CD257" s="179"/>
      <c r="CE257" s="179"/>
      <c r="CF257" s="179"/>
      <c r="CG257" s="179"/>
      <c r="CH257" s="179"/>
      <c r="CI257" s="179"/>
      <c r="CJ257" s="179"/>
      <c r="CK257" s="179"/>
      <c r="CL257" s="179"/>
      <c r="CM257" s="179"/>
      <c r="CN257" s="179"/>
      <c r="CO257" s="179"/>
      <c r="CP257" s="179"/>
      <c r="CQ257" s="179"/>
      <c r="CR257" s="179"/>
      <c r="CS257" s="179"/>
      <c r="CT257" s="179"/>
      <c r="CU257" s="179"/>
      <c r="CV257" s="179"/>
      <c r="CW257" s="179"/>
      <c r="CX257" s="179"/>
      <c r="CY257" s="179"/>
      <c r="CZ257" s="179"/>
      <c r="DA257" s="179"/>
      <c r="DB257" s="179"/>
      <c r="DC257" s="179"/>
      <c r="DD257" s="179"/>
      <c r="DE257" s="179"/>
      <c r="DF257" s="179"/>
      <c r="DG257" s="179"/>
      <c r="DH257" s="179"/>
      <c r="DI257" s="179"/>
      <c r="DJ257" s="179"/>
      <c r="DK257" s="179"/>
      <c r="DL257" s="179"/>
      <c r="DM257" s="179"/>
      <c r="DN257" s="179"/>
      <c r="DO257" s="179"/>
      <c r="DP257" s="179"/>
      <c r="DQ257" s="179"/>
      <c r="DR257" s="179"/>
      <c r="DS257" s="179"/>
      <c r="DT257" s="179"/>
      <c r="DU257" s="179"/>
      <c r="DV257" s="179"/>
      <c r="DW257" s="179"/>
      <c r="DX257" s="179"/>
    </row>
    <row r="258" spans="12:128" ht="13.5">
      <c r="L258" s="167"/>
      <c r="N258" s="168"/>
      <c r="O258" s="171"/>
      <c r="Q258" s="171"/>
      <c r="R258" s="171"/>
      <c r="S258" s="173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79"/>
      <c r="BN258" s="179"/>
      <c r="BO258" s="179"/>
      <c r="BP258" s="179"/>
      <c r="BQ258" s="179"/>
      <c r="BR258" s="179"/>
      <c r="BS258" s="179"/>
      <c r="BT258" s="179"/>
      <c r="BU258" s="179"/>
      <c r="BV258" s="179"/>
      <c r="BW258" s="179"/>
      <c r="BX258" s="179"/>
      <c r="BY258" s="179"/>
      <c r="BZ258" s="179"/>
      <c r="CA258" s="179"/>
      <c r="CB258" s="179"/>
      <c r="CC258" s="179"/>
      <c r="CD258" s="179"/>
      <c r="CE258" s="179"/>
      <c r="CF258" s="179"/>
      <c r="CG258" s="179"/>
      <c r="CH258" s="179"/>
      <c r="CI258" s="179"/>
      <c r="CJ258" s="179"/>
      <c r="CK258" s="179"/>
      <c r="CL258" s="179"/>
      <c r="CM258" s="179"/>
      <c r="CN258" s="179"/>
      <c r="CO258" s="179"/>
      <c r="CP258" s="179"/>
      <c r="CQ258" s="179"/>
      <c r="CR258" s="179"/>
      <c r="CS258" s="179"/>
      <c r="CT258" s="179"/>
      <c r="CU258" s="179"/>
      <c r="CV258" s="179"/>
      <c r="CW258" s="179"/>
      <c r="CX258" s="179"/>
      <c r="CY258" s="179"/>
      <c r="CZ258" s="179"/>
      <c r="DA258" s="179"/>
      <c r="DB258" s="179"/>
      <c r="DC258" s="179"/>
      <c r="DD258" s="179"/>
      <c r="DE258" s="179"/>
      <c r="DF258" s="179"/>
      <c r="DG258" s="179"/>
      <c r="DH258" s="179"/>
      <c r="DI258" s="179"/>
      <c r="DJ258" s="179"/>
      <c r="DK258" s="179"/>
      <c r="DL258" s="179"/>
      <c r="DM258" s="179"/>
      <c r="DN258" s="179"/>
      <c r="DO258" s="179"/>
      <c r="DP258" s="179"/>
      <c r="DQ258" s="179"/>
      <c r="DR258" s="179"/>
      <c r="DS258" s="179"/>
      <c r="DT258" s="179"/>
      <c r="DU258" s="179"/>
      <c r="DV258" s="179"/>
      <c r="DW258" s="179"/>
      <c r="DX258" s="179"/>
    </row>
    <row r="259" spans="12:128" ht="13.5">
      <c r="L259" s="167"/>
      <c r="N259" s="168"/>
      <c r="O259" s="171"/>
      <c r="Q259" s="171"/>
      <c r="R259" s="171"/>
      <c r="S259" s="173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79"/>
      <c r="AT259" s="179"/>
      <c r="AU259" s="179"/>
      <c r="AV259" s="179"/>
      <c r="AW259" s="179"/>
      <c r="AX259" s="179"/>
      <c r="AY259" s="179"/>
      <c r="AZ259" s="179"/>
      <c r="BA259" s="179"/>
      <c r="BB259" s="179"/>
      <c r="BC259" s="179"/>
      <c r="BD259" s="179"/>
      <c r="BE259" s="179"/>
      <c r="BF259" s="179"/>
      <c r="BG259" s="179"/>
      <c r="BH259" s="179"/>
      <c r="BI259" s="179"/>
      <c r="BJ259" s="179"/>
      <c r="BK259" s="179"/>
      <c r="BL259" s="179"/>
      <c r="BM259" s="179"/>
      <c r="BN259" s="179"/>
      <c r="BO259" s="179"/>
      <c r="BP259" s="179"/>
      <c r="BQ259" s="179"/>
      <c r="BR259" s="179"/>
      <c r="BS259" s="179"/>
      <c r="BT259" s="179"/>
      <c r="BU259" s="179"/>
      <c r="BV259" s="179"/>
      <c r="BW259" s="179"/>
      <c r="BX259" s="179"/>
      <c r="BY259" s="179"/>
      <c r="BZ259" s="179"/>
      <c r="CA259" s="179"/>
      <c r="CB259" s="179"/>
      <c r="CC259" s="179"/>
      <c r="CD259" s="179"/>
      <c r="CE259" s="179"/>
      <c r="CF259" s="179"/>
      <c r="CG259" s="179"/>
      <c r="CH259" s="179"/>
      <c r="CI259" s="179"/>
      <c r="CJ259" s="179"/>
      <c r="CK259" s="179"/>
      <c r="CL259" s="179"/>
      <c r="CM259" s="179"/>
      <c r="CN259" s="179"/>
      <c r="CO259" s="179"/>
      <c r="CP259" s="179"/>
      <c r="CQ259" s="179"/>
      <c r="CR259" s="179"/>
      <c r="CS259" s="179"/>
      <c r="CT259" s="179"/>
      <c r="CU259" s="179"/>
      <c r="CV259" s="179"/>
      <c r="CW259" s="179"/>
      <c r="CX259" s="179"/>
      <c r="CY259" s="179"/>
      <c r="CZ259" s="179"/>
      <c r="DA259" s="179"/>
      <c r="DB259" s="179"/>
      <c r="DC259" s="179"/>
      <c r="DD259" s="179"/>
      <c r="DE259" s="179"/>
      <c r="DF259" s="179"/>
      <c r="DG259" s="179"/>
      <c r="DH259" s="179"/>
      <c r="DI259" s="179"/>
      <c r="DJ259" s="179"/>
      <c r="DK259" s="179"/>
      <c r="DL259" s="179"/>
      <c r="DM259" s="179"/>
      <c r="DN259" s="179"/>
      <c r="DO259" s="179"/>
      <c r="DP259" s="179"/>
      <c r="DQ259" s="179"/>
      <c r="DR259" s="179"/>
      <c r="DS259" s="179"/>
      <c r="DT259" s="179"/>
      <c r="DU259" s="179"/>
      <c r="DV259" s="179"/>
      <c r="DW259" s="179"/>
      <c r="DX259" s="179"/>
    </row>
    <row r="260" spans="12:128" ht="13.5">
      <c r="L260" s="167"/>
      <c r="N260" s="168"/>
      <c r="O260" s="171"/>
      <c r="Q260" s="171"/>
      <c r="R260" s="171"/>
      <c r="S260" s="173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  <c r="BD260" s="179"/>
      <c r="BE260" s="179"/>
      <c r="BF260" s="179"/>
      <c r="BG260" s="179"/>
      <c r="BH260" s="179"/>
      <c r="BI260" s="179"/>
      <c r="BJ260" s="179"/>
      <c r="BK260" s="179"/>
      <c r="BL260" s="179"/>
      <c r="BM260" s="179"/>
      <c r="BN260" s="179"/>
      <c r="BO260" s="179"/>
      <c r="BP260" s="179"/>
      <c r="BQ260" s="179"/>
      <c r="BR260" s="179"/>
      <c r="BS260" s="179"/>
      <c r="BT260" s="179"/>
      <c r="BU260" s="179"/>
      <c r="BV260" s="179"/>
      <c r="BW260" s="179"/>
      <c r="BX260" s="179"/>
      <c r="BY260" s="179"/>
      <c r="BZ260" s="179"/>
      <c r="CA260" s="179"/>
      <c r="CB260" s="179"/>
      <c r="CC260" s="179"/>
      <c r="CD260" s="179"/>
      <c r="CE260" s="179"/>
      <c r="CF260" s="179"/>
      <c r="CG260" s="179"/>
      <c r="CH260" s="179"/>
      <c r="CI260" s="179"/>
      <c r="CJ260" s="179"/>
      <c r="CK260" s="179"/>
      <c r="CL260" s="179"/>
      <c r="CM260" s="179"/>
      <c r="CN260" s="179"/>
      <c r="CO260" s="179"/>
      <c r="CP260" s="179"/>
      <c r="CQ260" s="179"/>
      <c r="CR260" s="179"/>
      <c r="CS260" s="179"/>
      <c r="CT260" s="179"/>
      <c r="CU260" s="179"/>
      <c r="CV260" s="179"/>
      <c r="CW260" s="179"/>
      <c r="CX260" s="179"/>
      <c r="CY260" s="179"/>
      <c r="CZ260" s="179"/>
      <c r="DA260" s="179"/>
      <c r="DB260" s="179"/>
      <c r="DC260" s="179"/>
      <c r="DD260" s="179"/>
      <c r="DE260" s="179"/>
      <c r="DF260" s="179"/>
      <c r="DG260" s="179"/>
      <c r="DH260" s="179"/>
      <c r="DI260" s="179"/>
      <c r="DJ260" s="179"/>
      <c r="DK260" s="179"/>
      <c r="DL260" s="179"/>
      <c r="DM260" s="179"/>
      <c r="DN260" s="179"/>
      <c r="DO260" s="179"/>
      <c r="DP260" s="179"/>
      <c r="DQ260" s="179"/>
      <c r="DR260" s="179"/>
      <c r="DS260" s="179"/>
      <c r="DT260" s="179"/>
      <c r="DU260" s="179"/>
      <c r="DV260" s="179"/>
      <c r="DW260" s="179"/>
      <c r="DX260" s="179"/>
    </row>
    <row r="261" spans="12:128" ht="13.5">
      <c r="L261" s="167"/>
      <c r="N261" s="168"/>
      <c r="O261" s="171"/>
      <c r="Q261" s="171"/>
      <c r="R261" s="171"/>
      <c r="S261" s="173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  <c r="BI261" s="179"/>
      <c r="BJ261" s="179"/>
      <c r="BK261" s="179"/>
      <c r="BL261" s="179"/>
      <c r="BM261" s="179"/>
      <c r="BN261" s="179"/>
      <c r="BO261" s="179"/>
      <c r="BP261" s="179"/>
      <c r="BQ261" s="179"/>
      <c r="BR261" s="179"/>
      <c r="BS261" s="179"/>
      <c r="BT261" s="179"/>
      <c r="BU261" s="179"/>
      <c r="BV261" s="179"/>
      <c r="BW261" s="179"/>
      <c r="BX261" s="179"/>
      <c r="BY261" s="179"/>
      <c r="BZ261" s="179"/>
      <c r="CA261" s="179"/>
      <c r="CB261" s="179"/>
      <c r="CC261" s="179"/>
      <c r="CD261" s="179"/>
      <c r="CE261" s="179"/>
      <c r="CF261" s="179"/>
      <c r="CG261" s="179"/>
      <c r="CH261" s="179"/>
      <c r="CI261" s="179"/>
      <c r="CJ261" s="179"/>
      <c r="CK261" s="179"/>
      <c r="CL261" s="179"/>
      <c r="CM261" s="179"/>
      <c r="CN261" s="179"/>
      <c r="CO261" s="179"/>
      <c r="CP261" s="179"/>
      <c r="CQ261" s="179"/>
      <c r="CR261" s="179"/>
      <c r="CS261" s="179"/>
      <c r="CT261" s="179"/>
      <c r="CU261" s="179"/>
      <c r="CV261" s="179"/>
      <c r="CW261" s="179"/>
      <c r="CX261" s="179"/>
      <c r="CY261" s="179"/>
      <c r="CZ261" s="179"/>
      <c r="DA261" s="179"/>
      <c r="DB261" s="179"/>
      <c r="DC261" s="179"/>
      <c r="DD261" s="179"/>
      <c r="DE261" s="179"/>
      <c r="DF261" s="179"/>
      <c r="DG261" s="179"/>
      <c r="DH261" s="179"/>
      <c r="DI261" s="179"/>
      <c r="DJ261" s="179"/>
      <c r="DK261" s="179"/>
      <c r="DL261" s="179"/>
      <c r="DM261" s="179"/>
      <c r="DN261" s="179"/>
      <c r="DO261" s="179"/>
      <c r="DP261" s="179"/>
      <c r="DQ261" s="179"/>
      <c r="DR261" s="179"/>
      <c r="DS261" s="179"/>
      <c r="DT261" s="179"/>
      <c r="DU261" s="179"/>
      <c r="DV261" s="179"/>
      <c r="DW261" s="179"/>
      <c r="DX261" s="179"/>
    </row>
    <row r="262" spans="12:128" ht="13.5">
      <c r="L262" s="167"/>
      <c r="N262" s="168"/>
      <c r="O262" s="171"/>
      <c r="Q262" s="171"/>
      <c r="R262" s="171"/>
      <c r="S262" s="173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  <c r="BK262" s="179"/>
      <c r="BL262" s="179"/>
      <c r="BM262" s="179"/>
      <c r="BN262" s="179"/>
      <c r="BO262" s="179"/>
      <c r="BP262" s="179"/>
      <c r="BQ262" s="179"/>
      <c r="BR262" s="179"/>
      <c r="BS262" s="179"/>
      <c r="BT262" s="179"/>
      <c r="BU262" s="179"/>
      <c r="BV262" s="179"/>
      <c r="BW262" s="179"/>
      <c r="BX262" s="179"/>
      <c r="BY262" s="179"/>
      <c r="BZ262" s="179"/>
      <c r="CA262" s="179"/>
      <c r="CB262" s="179"/>
      <c r="CC262" s="179"/>
      <c r="CD262" s="179"/>
      <c r="CE262" s="179"/>
      <c r="CF262" s="179"/>
      <c r="CG262" s="179"/>
      <c r="CH262" s="179"/>
      <c r="CI262" s="179"/>
      <c r="CJ262" s="179"/>
      <c r="CK262" s="179"/>
      <c r="CL262" s="179"/>
      <c r="CM262" s="179"/>
      <c r="CN262" s="179"/>
      <c r="CO262" s="179"/>
      <c r="CP262" s="179"/>
      <c r="CQ262" s="179"/>
      <c r="CR262" s="179"/>
      <c r="CS262" s="179"/>
      <c r="CT262" s="179"/>
      <c r="CU262" s="179"/>
      <c r="CV262" s="179"/>
      <c r="CW262" s="179"/>
      <c r="CX262" s="179"/>
      <c r="CY262" s="179"/>
      <c r="CZ262" s="179"/>
      <c r="DA262" s="179"/>
      <c r="DB262" s="179"/>
      <c r="DC262" s="179"/>
      <c r="DD262" s="179"/>
      <c r="DE262" s="179"/>
      <c r="DF262" s="179"/>
      <c r="DG262" s="179"/>
      <c r="DH262" s="179"/>
      <c r="DI262" s="179"/>
      <c r="DJ262" s="179"/>
      <c r="DK262" s="179"/>
      <c r="DL262" s="179"/>
      <c r="DM262" s="179"/>
      <c r="DN262" s="179"/>
      <c r="DO262" s="179"/>
      <c r="DP262" s="179"/>
      <c r="DQ262" s="179"/>
      <c r="DR262" s="179"/>
      <c r="DS262" s="179"/>
      <c r="DT262" s="179"/>
      <c r="DU262" s="179"/>
      <c r="DV262" s="179"/>
      <c r="DW262" s="179"/>
      <c r="DX262" s="179"/>
    </row>
    <row r="263" spans="12:128" ht="13.5">
      <c r="L263" s="167"/>
      <c r="N263" s="168"/>
      <c r="O263" s="171"/>
      <c r="Q263" s="171"/>
      <c r="R263" s="171"/>
      <c r="S263" s="173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  <c r="BK263" s="179"/>
      <c r="BL263" s="179"/>
      <c r="BM263" s="179"/>
      <c r="BN263" s="179"/>
      <c r="BO263" s="179"/>
      <c r="BP263" s="179"/>
      <c r="BQ263" s="179"/>
      <c r="BR263" s="179"/>
      <c r="BS263" s="179"/>
      <c r="BT263" s="179"/>
      <c r="BU263" s="179"/>
      <c r="BV263" s="179"/>
      <c r="BW263" s="179"/>
      <c r="BX263" s="179"/>
      <c r="BY263" s="179"/>
      <c r="BZ263" s="179"/>
      <c r="CA263" s="179"/>
      <c r="CB263" s="179"/>
      <c r="CC263" s="179"/>
      <c r="CD263" s="179"/>
      <c r="CE263" s="179"/>
      <c r="CF263" s="179"/>
      <c r="CG263" s="179"/>
      <c r="CH263" s="179"/>
      <c r="CI263" s="179"/>
      <c r="CJ263" s="179"/>
      <c r="CK263" s="179"/>
      <c r="CL263" s="179"/>
      <c r="CM263" s="179"/>
      <c r="CN263" s="179"/>
      <c r="CO263" s="179"/>
      <c r="CP263" s="179"/>
      <c r="CQ263" s="179"/>
      <c r="CR263" s="179"/>
      <c r="CS263" s="179"/>
      <c r="CT263" s="179"/>
      <c r="CU263" s="179"/>
      <c r="CV263" s="179"/>
      <c r="CW263" s="179"/>
      <c r="CX263" s="179"/>
      <c r="CY263" s="179"/>
      <c r="CZ263" s="179"/>
      <c r="DA263" s="179"/>
      <c r="DB263" s="179"/>
      <c r="DC263" s="179"/>
      <c r="DD263" s="179"/>
      <c r="DE263" s="179"/>
      <c r="DF263" s="179"/>
      <c r="DG263" s="179"/>
      <c r="DH263" s="179"/>
      <c r="DI263" s="179"/>
      <c r="DJ263" s="179"/>
      <c r="DK263" s="179"/>
      <c r="DL263" s="179"/>
      <c r="DM263" s="179"/>
      <c r="DN263" s="179"/>
      <c r="DO263" s="179"/>
      <c r="DP263" s="179"/>
      <c r="DQ263" s="179"/>
      <c r="DR263" s="179"/>
      <c r="DS263" s="179"/>
      <c r="DT263" s="179"/>
      <c r="DU263" s="179"/>
      <c r="DV263" s="179"/>
      <c r="DW263" s="179"/>
      <c r="DX263" s="179"/>
    </row>
    <row r="264" spans="12:128" ht="13.5">
      <c r="L264" s="167"/>
      <c r="N264" s="168"/>
      <c r="O264" s="171"/>
      <c r="Q264" s="171"/>
      <c r="R264" s="171"/>
      <c r="S264" s="173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179"/>
      <c r="BN264" s="179"/>
      <c r="BO264" s="179"/>
      <c r="BP264" s="179"/>
      <c r="BQ264" s="179"/>
      <c r="BR264" s="179"/>
      <c r="BS264" s="179"/>
      <c r="BT264" s="179"/>
      <c r="BU264" s="179"/>
      <c r="BV264" s="179"/>
      <c r="BW264" s="179"/>
      <c r="BX264" s="179"/>
      <c r="BY264" s="179"/>
      <c r="BZ264" s="179"/>
      <c r="CA264" s="179"/>
      <c r="CB264" s="179"/>
      <c r="CC264" s="179"/>
      <c r="CD264" s="179"/>
      <c r="CE264" s="179"/>
      <c r="CF264" s="179"/>
      <c r="CG264" s="179"/>
      <c r="CH264" s="179"/>
      <c r="CI264" s="179"/>
      <c r="CJ264" s="179"/>
      <c r="CK264" s="179"/>
      <c r="CL264" s="179"/>
      <c r="CM264" s="179"/>
      <c r="CN264" s="179"/>
      <c r="CO264" s="179"/>
      <c r="CP264" s="179"/>
      <c r="CQ264" s="179"/>
      <c r="CR264" s="179"/>
      <c r="CS264" s="179"/>
      <c r="CT264" s="179"/>
      <c r="CU264" s="179"/>
      <c r="CV264" s="179"/>
      <c r="CW264" s="179"/>
      <c r="CX264" s="179"/>
      <c r="CY264" s="179"/>
      <c r="CZ264" s="179"/>
      <c r="DA264" s="179"/>
      <c r="DB264" s="179"/>
      <c r="DC264" s="179"/>
      <c r="DD264" s="179"/>
      <c r="DE264" s="179"/>
      <c r="DF264" s="179"/>
      <c r="DG264" s="179"/>
      <c r="DH264" s="179"/>
      <c r="DI264" s="179"/>
      <c r="DJ264" s="179"/>
      <c r="DK264" s="179"/>
      <c r="DL264" s="179"/>
      <c r="DM264" s="179"/>
      <c r="DN264" s="179"/>
      <c r="DO264" s="179"/>
      <c r="DP264" s="179"/>
      <c r="DQ264" s="179"/>
      <c r="DR264" s="179"/>
      <c r="DS264" s="179"/>
      <c r="DT264" s="179"/>
      <c r="DU264" s="179"/>
      <c r="DV264" s="179"/>
      <c r="DW264" s="179"/>
      <c r="DX264" s="179"/>
    </row>
    <row r="265" spans="12:128" ht="13.5">
      <c r="L265" s="167"/>
      <c r="N265" s="168"/>
      <c r="O265" s="171"/>
      <c r="Q265" s="171"/>
      <c r="R265" s="171"/>
      <c r="S265" s="173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  <c r="BM265" s="179"/>
      <c r="BN265" s="179"/>
      <c r="BO265" s="179"/>
      <c r="BP265" s="179"/>
      <c r="BQ265" s="179"/>
      <c r="BR265" s="179"/>
      <c r="BS265" s="179"/>
      <c r="BT265" s="179"/>
      <c r="BU265" s="179"/>
      <c r="BV265" s="179"/>
      <c r="BW265" s="179"/>
      <c r="BX265" s="179"/>
      <c r="BY265" s="179"/>
      <c r="BZ265" s="179"/>
      <c r="CA265" s="179"/>
      <c r="CB265" s="179"/>
      <c r="CC265" s="179"/>
      <c r="CD265" s="179"/>
      <c r="CE265" s="179"/>
      <c r="CF265" s="179"/>
      <c r="CG265" s="179"/>
      <c r="CH265" s="179"/>
      <c r="CI265" s="179"/>
      <c r="CJ265" s="179"/>
      <c r="CK265" s="179"/>
      <c r="CL265" s="179"/>
      <c r="CM265" s="179"/>
      <c r="CN265" s="179"/>
      <c r="CO265" s="179"/>
      <c r="CP265" s="179"/>
      <c r="CQ265" s="179"/>
      <c r="CR265" s="179"/>
      <c r="CS265" s="179"/>
      <c r="CT265" s="179"/>
      <c r="CU265" s="179"/>
      <c r="CV265" s="179"/>
      <c r="CW265" s="179"/>
      <c r="CX265" s="179"/>
      <c r="CY265" s="179"/>
      <c r="CZ265" s="179"/>
      <c r="DA265" s="179"/>
      <c r="DB265" s="179"/>
      <c r="DC265" s="179"/>
      <c r="DD265" s="179"/>
      <c r="DE265" s="179"/>
      <c r="DF265" s="179"/>
      <c r="DG265" s="179"/>
      <c r="DH265" s="179"/>
      <c r="DI265" s="179"/>
      <c r="DJ265" s="179"/>
      <c r="DK265" s="179"/>
      <c r="DL265" s="179"/>
      <c r="DM265" s="179"/>
      <c r="DN265" s="179"/>
      <c r="DO265" s="179"/>
      <c r="DP265" s="179"/>
      <c r="DQ265" s="179"/>
      <c r="DR265" s="179"/>
      <c r="DS265" s="179"/>
      <c r="DT265" s="179"/>
      <c r="DU265" s="179"/>
      <c r="DV265" s="179"/>
      <c r="DW265" s="179"/>
      <c r="DX265" s="179"/>
    </row>
    <row r="266" spans="12:128" ht="13.5">
      <c r="L266" s="167"/>
      <c r="N266" s="168"/>
      <c r="O266" s="171"/>
      <c r="Q266" s="171"/>
      <c r="R266" s="171"/>
      <c r="S266" s="173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  <c r="BK266" s="179"/>
      <c r="BL266" s="179"/>
      <c r="BM266" s="179"/>
      <c r="BN266" s="179"/>
      <c r="BO266" s="179"/>
      <c r="BP266" s="179"/>
      <c r="BQ266" s="179"/>
      <c r="BR266" s="179"/>
      <c r="BS266" s="179"/>
      <c r="BT266" s="179"/>
      <c r="BU266" s="179"/>
      <c r="BV266" s="179"/>
      <c r="BW266" s="179"/>
      <c r="BX266" s="179"/>
      <c r="BY266" s="179"/>
      <c r="BZ266" s="179"/>
      <c r="CA266" s="179"/>
      <c r="CB266" s="179"/>
      <c r="CC266" s="179"/>
      <c r="CD266" s="179"/>
      <c r="CE266" s="179"/>
      <c r="CF266" s="179"/>
      <c r="CG266" s="179"/>
      <c r="CH266" s="179"/>
      <c r="CI266" s="179"/>
      <c r="CJ266" s="179"/>
      <c r="CK266" s="179"/>
      <c r="CL266" s="179"/>
      <c r="CM266" s="179"/>
      <c r="CN266" s="179"/>
      <c r="CO266" s="179"/>
      <c r="CP266" s="179"/>
      <c r="CQ266" s="179"/>
      <c r="CR266" s="179"/>
      <c r="CS266" s="179"/>
      <c r="CT266" s="179"/>
      <c r="CU266" s="179"/>
      <c r="CV266" s="179"/>
      <c r="CW266" s="179"/>
      <c r="CX266" s="179"/>
      <c r="CY266" s="179"/>
      <c r="CZ266" s="179"/>
      <c r="DA266" s="179"/>
      <c r="DB266" s="179"/>
      <c r="DC266" s="179"/>
      <c r="DD266" s="179"/>
      <c r="DE266" s="179"/>
      <c r="DF266" s="179"/>
      <c r="DG266" s="179"/>
      <c r="DH266" s="179"/>
      <c r="DI266" s="179"/>
      <c r="DJ266" s="179"/>
      <c r="DK266" s="179"/>
      <c r="DL266" s="179"/>
      <c r="DM266" s="179"/>
      <c r="DN266" s="179"/>
      <c r="DO266" s="179"/>
      <c r="DP266" s="179"/>
      <c r="DQ266" s="179"/>
      <c r="DR266" s="179"/>
      <c r="DS266" s="179"/>
      <c r="DT266" s="179"/>
      <c r="DU266" s="179"/>
      <c r="DV266" s="179"/>
      <c r="DW266" s="179"/>
      <c r="DX266" s="179"/>
    </row>
    <row r="267" spans="12:128" ht="13.5">
      <c r="L267" s="167"/>
      <c r="N267" s="168"/>
      <c r="O267" s="171"/>
      <c r="Q267" s="171"/>
      <c r="R267" s="171"/>
      <c r="S267" s="173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  <c r="BD267" s="179"/>
      <c r="BE267" s="179"/>
      <c r="BF267" s="179"/>
      <c r="BG267" s="179"/>
      <c r="BH267" s="179"/>
      <c r="BI267" s="179"/>
      <c r="BJ267" s="179"/>
      <c r="BK267" s="179"/>
      <c r="BL267" s="179"/>
      <c r="BM267" s="179"/>
      <c r="BN267" s="179"/>
      <c r="BO267" s="179"/>
      <c r="BP267" s="179"/>
      <c r="BQ267" s="179"/>
      <c r="BR267" s="179"/>
      <c r="BS267" s="179"/>
      <c r="BT267" s="179"/>
      <c r="BU267" s="179"/>
      <c r="BV267" s="179"/>
      <c r="BW267" s="179"/>
      <c r="BX267" s="179"/>
      <c r="BY267" s="179"/>
      <c r="BZ267" s="179"/>
      <c r="CA267" s="179"/>
      <c r="CB267" s="179"/>
      <c r="CC267" s="179"/>
      <c r="CD267" s="179"/>
      <c r="CE267" s="179"/>
      <c r="CF267" s="179"/>
      <c r="CG267" s="179"/>
      <c r="CH267" s="179"/>
      <c r="CI267" s="179"/>
      <c r="CJ267" s="179"/>
      <c r="CK267" s="179"/>
      <c r="CL267" s="179"/>
      <c r="CM267" s="179"/>
      <c r="CN267" s="179"/>
      <c r="CO267" s="179"/>
      <c r="CP267" s="179"/>
      <c r="CQ267" s="179"/>
      <c r="CR267" s="179"/>
      <c r="CS267" s="179"/>
      <c r="CT267" s="179"/>
      <c r="CU267" s="179"/>
      <c r="CV267" s="179"/>
      <c r="CW267" s="179"/>
      <c r="CX267" s="179"/>
      <c r="CY267" s="179"/>
      <c r="CZ267" s="179"/>
      <c r="DA267" s="179"/>
      <c r="DB267" s="179"/>
      <c r="DC267" s="179"/>
      <c r="DD267" s="179"/>
      <c r="DE267" s="179"/>
      <c r="DF267" s="179"/>
      <c r="DG267" s="179"/>
      <c r="DH267" s="179"/>
      <c r="DI267" s="179"/>
      <c r="DJ267" s="179"/>
      <c r="DK267" s="179"/>
      <c r="DL267" s="179"/>
      <c r="DM267" s="179"/>
      <c r="DN267" s="179"/>
      <c r="DO267" s="179"/>
      <c r="DP267" s="179"/>
      <c r="DQ267" s="179"/>
      <c r="DR267" s="179"/>
      <c r="DS267" s="179"/>
      <c r="DT267" s="179"/>
      <c r="DU267" s="179"/>
      <c r="DV267" s="179"/>
      <c r="DW267" s="179"/>
      <c r="DX267" s="179"/>
    </row>
    <row r="268" spans="12:128" ht="13.5">
      <c r="L268" s="167"/>
      <c r="N268" s="168"/>
      <c r="O268" s="171"/>
      <c r="Q268" s="171"/>
      <c r="R268" s="171"/>
      <c r="S268" s="173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  <c r="AP268" s="179"/>
      <c r="AQ268" s="179"/>
      <c r="AR268" s="179"/>
      <c r="AS268" s="179"/>
      <c r="AT268" s="179"/>
      <c r="AU268" s="179"/>
      <c r="AV268" s="179"/>
      <c r="AW268" s="179"/>
      <c r="AX268" s="179"/>
      <c r="AY268" s="179"/>
      <c r="AZ268" s="179"/>
      <c r="BA268" s="179"/>
      <c r="BB268" s="179"/>
      <c r="BC268" s="179"/>
      <c r="BD268" s="179"/>
      <c r="BE268" s="179"/>
      <c r="BF268" s="179"/>
      <c r="BG268" s="179"/>
      <c r="BH268" s="179"/>
      <c r="BI268" s="179"/>
      <c r="BJ268" s="179"/>
      <c r="BK268" s="179"/>
      <c r="BL268" s="179"/>
      <c r="BM268" s="179"/>
      <c r="BN268" s="179"/>
      <c r="BO268" s="179"/>
      <c r="BP268" s="179"/>
      <c r="BQ268" s="179"/>
      <c r="BR268" s="179"/>
      <c r="BS268" s="179"/>
      <c r="BT268" s="179"/>
      <c r="BU268" s="179"/>
      <c r="BV268" s="179"/>
      <c r="BW268" s="179"/>
      <c r="BX268" s="179"/>
      <c r="BY268" s="179"/>
      <c r="BZ268" s="179"/>
      <c r="CA268" s="179"/>
      <c r="CB268" s="179"/>
      <c r="CC268" s="179"/>
      <c r="CD268" s="179"/>
      <c r="CE268" s="179"/>
      <c r="CF268" s="179"/>
      <c r="CG268" s="179"/>
      <c r="CH268" s="179"/>
      <c r="CI268" s="179"/>
      <c r="CJ268" s="179"/>
      <c r="CK268" s="179"/>
      <c r="CL268" s="179"/>
      <c r="CM268" s="179"/>
      <c r="CN268" s="179"/>
      <c r="CO268" s="179"/>
      <c r="CP268" s="179"/>
      <c r="CQ268" s="179"/>
      <c r="CR268" s="179"/>
      <c r="CS268" s="179"/>
      <c r="CT268" s="179"/>
      <c r="CU268" s="179"/>
      <c r="CV268" s="179"/>
      <c r="CW268" s="179"/>
      <c r="CX268" s="179"/>
      <c r="CY268" s="179"/>
      <c r="CZ268" s="179"/>
      <c r="DA268" s="179"/>
      <c r="DB268" s="179"/>
      <c r="DC268" s="179"/>
      <c r="DD268" s="179"/>
      <c r="DE268" s="179"/>
      <c r="DF268" s="179"/>
      <c r="DG268" s="179"/>
      <c r="DH268" s="179"/>
      <c r="DI268" s="179"/>
      <c r="DJ268" s="179"/>
      <c r="DK268" s="179"/>
      <c r="DL268" s="179"/>
      <c r="DM268" s="179"/>
      <c r="DN268" s="179"/>
      <c r="DO268" s="179"/>
      <c r="DP268" s="179"/>
      <c r="DQ268" s="179"/>
      <c r="DR268" s="179"/>
      <c r="DS268" s="179"/>
      <c r="DT268" s="179"/>
      <c r="DU268" s="179"/>
      <c r="DV268" s="179"/>
      <c r="DW268" s="179"/>
      <c r="DX268" s="179"/>
    </row>
    <row r="269" spans="12:128" ht="13.5">
      <c r="L269" s="167"/>
      <c r="N269" s="168"/>
      <c r="O269" s="171"/>
      <c r="Q269" s="171"/>
      <c r="R269" s="171"/>
      <c r="S269" s="173"/>
      <c r="U269" s="179"/>
      <c r="V269" s="179"/>
      <c r="W269" s="179"/>
      <c r="X269" s="179"/>
      <c r="Y269" s="179"/>
      <c r="Z269" s="179"/>
      <c r="AA269" s="179"/>
      <c r="AB269" s="179"/>
      <c r="AC269" s="179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  <c r="AP269" s="179"/>
      <c r="AQ269" s="179"/>
      <c r="AR269" s="179"/>
      <c r="AS269" s="179"/>
      <c r="AT269" s="179"/>
      <c r="AU269" s="179"/>
      <c r="AV269" s="179"/>
      <c r="AW269" s="179"/>
      <c r="AX269" s="179"/>
      <c r="AY269" s="179"/>
      <c r="AZ269" s="179"/>
      <c r="BA269" s="179"/>
      <c r="BB269" s="179"/>
      <c r="BC269" s="179"/>
      <c r="BD269" s="179"/>
      <c r="BE269" s="179"/>
      <c r="BF269" s="179"/>
      <c r="BG269" s="179"/>
      <c r="BH269" s="179"/>
      <c r="BI269" s="179"/>
      <c r="BJ269" s="179"/>
      <c r="BK269" s="179"/>
      <c r="BL269" s="179"/>
      <c r="BM269" s="179"/>
      <c r="BN269" s="179"/>
      <c r="BO269" s="179"/>
      <c r="BP269" s="179"/>
      <c r="BQ269" s="179"/>
      <c r="BR269" s="179"/>
      <c r="BS269" s="179"/>
      <c r="BT269" s="179"/>
      <c r="BU269" s="179"/>
      <c r="BV269" s="179"/>
      <c r="BW269" s="179"/>
      <c r="BX269" s="179"/>
      <c r="BY269" s="179"/>
      <c r="BZ269" s="179"/>
      <c r="CA269" s="179"/>
      <c r="CB269" s="179"/>
      <c r="CC269" s="179"/>
      <c r="CD269" s="179"/>
      <c r="CE269" s="179"/>
      <c r="CF269" s="179"/>
      <c r="CG269" s="179"/>
      <c r="CH269" s="179"/>
      <c r="CI269" s="179"/>
      <c r="CJ269" s="179"/>
      <c r="CK269" s="179"/>
      <c r="CL269" s="179"/>
      <c r="CM269" s="179"/>
      <c r="CN269" s="179"/>
      <c r="CO269" s="179"/>
      <c r="CP269" s="179"/>
      <c r="CQ269" s="179"/>
      <c r="CR269" s="179"/>
      <c r="CS269" s="179"/>
      <c r="CT269" s="179"/>
      <c r="CU269" s="179"/>
      <c r="CV269" s="179"/>
      <c r="CW269" s="179"/>
      <c r="CX269" s="179"/>
      <c r="CY269" s="179"/>
      <c r="CZ269" s="179"/>
      <c r="DA269" s="179"/>
      <c r="DB269" s="179"/>
      <c r="DC269" s="179"/>
      <c r="DD269" s="179"/>
      <c r="DE269" s="179"/>
      <c r="DF269" s="179"/>
      <c r="DG269" s="179"/>
      <c r="DH269" s="179"/>
      <c r="DI269" s="179"/>
      <c r="DJ269" s="179"/>
      <c r="DK269" s="179"/>
      <c r="DL269" s="179"/>
      <c r="DM269" s="179"/>
      <c r="DN269" s="179"/>
      <c r="DO269" s="179"/>
      <c r="DP269" s="179"/>
      <c r="DQ269" s="179"/>
      <c r="DR269" s="179"/>
      <c r="DS269" s="179"/>
      <c r="DT269" s="179"/>
      <c r="DU269" s="179"/>
      <c r="DV269" s="179"/>
      <c r="DW269" s="179"/>
      <c r="DX269" s="179"/>
    </row>
    <row r="270" spans="12:128" ht="13.5">
      <c r="L270" s="167"/>
      <c r="N270" s="168"/>
      <c r="O270" s="171"/>
      <c r="Q270" s="171"/>
      <c r="R270" s="171"/>
      <c r="S270" s="173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79"/>
      <c r="AR270" s="179"/>
      <c r="AS270" s="179"/>
      <c r="AT270" s="179"/>
      <c r="AU270" s="179"/>
      <c r="AV270" s="179"/>
      <c r="AW270" s="179"/>
      <c r="AX270" s="179"/>
      <c r="AY270" s="179"/>
      <c r="AZ270" s="179"/>
      <c r="BA270" s="179"/>
      <c r="BB270" s="179"/>
      <c r="BC270" s="179"/>
      <c r="BD270" s="179"/>
      <c r="BE270" s="179"/>
      <c r="BF270" s="179"/>
      <c r="BG270" s="179"/>
      <c r="BH270" s="179"/>
      <c r="BI270" s="179"/>
      <c r="BJ270" s="179"/>
      <c r="BK270" s="179"/>
      <c r="BL270" s="179"/>
      <c r="BM270" s="179"/>
      <c r="BN270" s="179"/>
      <c r="BO270" s="179"/>
      <c r="BP270" s="179"/>
      <c r="BQ270" s="179"/>
      <c r="BR270" s="179"/>
      <c r="BS270" s="179"/>
      <c r="BT270" s="179"/>
      <c r="BU270" s="179"/>
      <c r="BV270" s="179"/>
      <c r="BW270" s="179"/>
      <c r="BX270" s="179"/>
      <c r="BY270" s="179"/>
      <c r="BZ270" s="179"/>
      <c r="CA270" s="179"/>
      <c r="CB270" s="179"/>
      <c r="CC270" s="179"/>
      <c r="CD270" s="179"/>
      <c r="CE270" s="179"/>
      <c r="CF270" s="179"/>
      <c r="CG270" s="179"/>
      <c r="CH270" s="179"/>
      <c r="CI270" s="179"/>
      <c r="CJ270" s="179"/>
      <c r="CK270" s="179"/>
      <c r="CL270" s="179"/>
      <c r="CM270" s="179"/>
      <c r="CN270" s="179"/>
      <c r="CO270" s="179"/>
      <c r="CP270" s="179"/>
      <c r="CQ270" s="179"/>
      <c r="CR270" s="179"/>
      <c r="CS270" s="179"/>
      <c r="CT270" s="179"/>
      <c r="CU270" s="179"/>
      <c r="CV270" s="179"/>
      <c r="CW270" s="179"/>
      <c r="CX270" s="179"/>
      <c r="CY270" s="179"/>
      <c r="CZ270" s="179"/>
      <c r="DA270" s="179"/>
      <c r="DB270" s="179"/>
      <c r="DC270" s="179"/>
      <c r="DD270" s="179"/>
      <c r="DE270" s="179"/>
      <c r="DF270" s="179"/>
      <c r="DG270" s="179"/>
      <c r="DH270" s="179"/>
      <c r="DI270" s="179"/>
      <c r="DJ270" s="179"/>
      <c r="DK270" s="179"/>
      <c r="DL270" s="179"/>
      <c r="DM270" s="179"/>
      <c r="DN270" s="179"/>
      <c r="DO270" s="179"/>
      <c r="DP270" s="179"/>
      <c r="DQ270" s="179"/>
      <c r="DR270" s="179"/>
      <c r="DS270" s="179"/>
      <c r="DT270" s="179"/>
      <c r="DU270" s="179"/>
      <c r="DV270" s="179"/>
      <c r="DW270" s="179"/>
      <c r="DX270" s="179"/>
    </row>
    <row r="271" spans="12:128" ht="13.5">
      <c r="L271" s="167"/>
      <c r="N271" s="168"/>
      <c r="O271" s="171"/>
      <c r="Q271" s="171"/>
      <c r="R271" s="171"/>
      <c r="S271" s="173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179"/>
      <c r="AT271" s="179"/>
      <c r="AU271" s="179"/>
      <c r="AV271" s="179"/>
      <c r="AW271" s="179"/>
      <c r="AX271" s="179"/>
      <c r="AY271" s="179"/>
      <c r="AZ271" s="179"/>
      <c r="BA271" s="179"/>
      <c r="BB271" s="179"/>
      <c r="BC271" s="179"/>
      <c r="BD271" s="179"/>
      <c r="BE271" s="179"/>
      <c r="BF271" s="179"/>
      <c r="BG271" s="179"/>
      <c r="BH271" s="179"/>
      <c r="BI271" s="179"/>
      <c r="BJ271" s="179"/>
      <c r="BK271" s="179"/>
      <c r="BL271" s="179"/>
      <c r="BM271" s="179"/>
      <c r="BN271" s="179"/>
      <c r="BO271" s="179"/>
      <c r="BP271" s="179"/>
      <c r="BQ271" s="179"/>
      <c r="BR271" s="179"/>
      <c r="BS271" s="179"/>
      <c r="BT271" s="179"/>
      <c r="BU271" s="179"/>
      <c r="BV271" s="179"/>
      <c r="BW271" s="179"/>
      <c r="BX271" s="179"/>
      <c r="BY271" s="179"/>
      <c r="BZ271" s="179"/>
      <c r="CA271" s="179"/>
      <c r="CB271" s="179"/>
      <c r="CC271" s="179"/>
      <c r="CD271" s="179"/>
      <c r="CE271" s="179"/>
      <c r="CF271" s="179"/>
      <c r="CG271" s="179"/>
      <c r="CH271" s="179"/>
      <c r="CI271" s="179"/>
      <c r="CJ271" s="179"/>
      <c r="CK271" s="179"/>
      <c r="CL271" s="179"/>
      <c r="CM271" s="179"/>
      <c r="CN271" s="179"/>
      <c r="CO271" s="179"/>
      <c r="CP271" s="179"/>
      <c r="CQ271" s="179"/>
      <c r="CR271" s="179"/>
      <c r="CS271" s="179"/>
      <c r="CT271" s="179"/>
      <c r="CU271" s="179"/>
      <c r="CV271" s="179"/>
      <c r="CW271" s="179"/>
      <c r="CX271" s="179"/>
      <c r="CY271" s="179"/>
      <c r="CZ271" s="179"/>
      <c r="DA271" s="179"/>
      <c r="DB271" s="179"/>
      <c r="DC271" s="179"/>
      <c r="DD271" s="179"/>
      <c r="DE271" s="179"/>
      <c r="DF271" s="179"/>
      <c r="DG271" s="179"/>
      <c r="DH271" s="179"/>
      <c r="DI271" s="179"/>
      <c r="DJ271" s="179"/>
      <c r="DK271" s="179"/>
      <c r="DL271" s="179"/>
      <c r="DM271" s="179"/>
      <c r="DN271" s="179"/>
      <c r="DO271" s="179"/>
      <c r="DP271" s="179"/>
      <c r="DQ271" s="179"/>
      <c r="DR271" s="179"/>
      <c r="DS271" s="179"/>
      <c r="DT271" s="179"/>
      <c r="DU271" s="179"/>
      <c r="DV271" s="179"/>
      <c r="DW271" s="179"/>
      <c r="DX271" s="179"/>
    </row>
    <row r="272" spans="12:128" ht="13.5">
      <c r="L272" s="167"/>
      <c r="N272" s="168"/>
      <c r="O272" s="171"/>
      <c r="Q272" s="171"/>
      <c r="R272" s="171"/>
      <c r="S272" s="173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79"/>
      <c r="AT272" s="179"/>
      <c r="AU272" s="179"/>
      <c r="AV272" s="179"/>
      <c r="AW272" s="179"/>
      <c r="AX272" s="179"/>
      <c r="AY272" s="179"/>
      <c r="AZ272" s="179"/>
      <c r="BA272" s="179"/>
      <c r="BB272" s="179"/>
      <c r="BC272" s="179"/>
      <c r="BD272" s="179"/>
      <c r="BE272" s="179"/>
      <c r="BF272" s="179"/>
      <c r="BG272" s="179"/>
      <c r="BH272" s="179"/>
      <c r="BI272" s="179"/>
      <c r="BJ272" s="179"/>
      <c r="BK272" s="179"/>
      <c r="BL272" s="179"/>
      <c r="BM272" s="179"/>
      <c r="BN272" s="179"/>
      <c r="BO272" s="179"/>
      <c r="BP272" s="179"/>
      <c r="BQ272" s="179"/>
      <c r="BR272" s="179"/>
      <c r="BS272" s="179"/>
      <c r="BT272" s="179"/>
      <c r="BU272" s="179"/>
      <c r="BV272" s="179"/>
      <c r="BW272" s="179"/>
      <c r="BX272" s="179"/>
      <c r="BY272" s="179"/>
      <c r="BZ272" s="179"/>
      <c r="CA272" s="179"/>
      <c r="CB272" s="179"/>
      <c r="CC272" s="179"/>
      <c r="CD272" s="179"/>
      <c r="CE272" s="179"/>
      <c r="CF272" s="179"/>
      <c r="CG272" s="179"/>
      <c r="CH272" s="179"/>
      <c r="CI272" s="179"/>
      <c r="CJ272" s="179"/>
      <c r="CK272" s="179"/>
      <c r="CL272" s="179"/>
      <c r="CM272" s="179"/>
      <c r="CN272" s="179"/>
      <c r="CO272" s="179"/>
      <c r="CP272" s="179"/>
      <c r="CQ272" s="179"/>
      <c r="CR272" s="179"/>
      <c r="CS272" s="179"/>
      <c r="CT272" s="179"/>
      <c r="CU272" s="179"/>
      <c r="CV272" s="179"/>
      <c r="CW272" s="179"/>
      <c r="CX272" s="179"/>
      <c r="CY272" s="179"/>
      <c r="CZ272" s="179"/>
      <c r="DA272" s="179"/>
      <c r="DB272" s="179"/>
      <c r="DC272" s="179"/>
      <c r="DD272" s="179"/>
      <c r="DE272" s="179"/>
      <c r="DF272" s="179"/>
      <c r="DG272" s="179"/>
      <c r="DH272" s="179"/>
      <c r="DI272" s="179"/>
      <c r="DJ272" s="179"/>
      <c r="DK272" s="179"/>
      <c r="DL272" s="179"/>
      <c r="DM272" s="179"/>
      <c r="DN272" s="179"/>
      <c r="DO272" s="179"/>
      <c r="DP272" s="179"/>
      <c r="DQ272" s="179"/>
      <c r="DR272" s="179"/>
      <c r="DS272" s="179"/>
      <c r="DT272" s="179"/>
      <c r="DU272" s="179"/>
      <c r="DV272" s="179"/>
      <c r="DW272" s="179"/>
      <c r="DX272" s="179"/>
    </row>
    <row r="273" spans="12:128" ht="13.5">
      <c r="L273" s="167"/>
      <c r="N273" s="168"/>
      <c r="O273" s="171"/>
      <c r="Q273" s="171"/>
      <c r="R273" s="171"/>
      <c r="S273" s="173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179"/>
      <c r="BM273" s="179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179"/>
      <c r="BZ273" s="179"/>
      <c r="CA273" s="179"/>
      <c r="CB273" s="179"/>
      <c r="CC273" s="179"/>
      <c r="CD273" s="179"/>
      <c r="CE273" s="179"/>
      <c r="CF273" s="179"/>
      <c r="CG273" s="179"/>
      <c r="CH273" s="179"/>
      <c r="CI273" s="179"/>
      <c r="CJ273" s="179"/>
      <c r="CK273" s="179"/>
      <c r="CL273" s="179"/>
      <c r="CM273" s="179"/>
      <c r="CN273" s="179"/>
      <c r="CO273" s="179"/>
      <c r="CP273" s="179"/>
      <c r="CQ273" s="179"/>
      <c r="CR273" s="179"/>
      <c r="CS273" s="179"/>
      <c r="CT273" s="179"/>
      <c r="CU273" s="179"/>
      <c r="CV273" s="179"/>
      <c r="CW273" s="179"/>
      <c r="CX273" s="179"/>
      <c r="CY273" s="179"/>
      <c r="CZ273" s="179"/>
      <c r="DA273" s="179"/>
      <c r="DB273" s="179"/>
      <c r="DC273" s="179"/>
      <c r="DD273" s="179"/>
      <c r="DE273" s="179"/>
      <c r="DF273" s="179"/>
      <c r="DG273" s="179"/>
      <c r="DH273" s="179"/>
      <c r="DI273" s="179"/>
      <c r="DJ273" s="179"/>
      <c r="DK273" s="179"/>
      <c r="DL273" s="179"/>
      <c r="DM273" s="179"/>
      <c r="DN273" s="179"/>
      <c r="DO273" s="179"/>
      <c r="DP273" s="179"/>
      <c r="DQ273" s="179"/>
      <c r="DR273" s="179"/>
      <c r="DS273" s="179"/>
      <c r="DT273" s="179"/>
      <c r="DU273" s="179"/>
      <c r="DV273" s="179"/>
      <c r="DW273" s="179"/>
      <c r="DX273" s="179"/>
    </row>
    <row r="274" spans="12:128" ht="13.5">
      <c r="L274" s="167"/>
      <c r="N274" s="168"/>
      <c r="O274" s="171"/>
      <c r="Q274" s="171"/>
      <c r="R274" s="171"/>
      <c r="S274" s="173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79"/>
      <c r="AT274" s="179"/>
      <c r="AU274" s="179"/>
      <c r="AV274" s="179"/>
      <c r="AW274" s="179"/>
      <c r="AX274" s="179"/>
      <c r="AY274" s="179"/>
      <c r="AZ274" s="179"/>
      <c r="BA274" s="179"/>
      <c r="BB274" s="179"/>
      <c r="BC274" s="179"/>
      <c r="BD274" s="179"/>
      <c r="BE274" s="179"/>
      <c r="BF274" s="179"/>
      <c r="BG274" s="179"/>
      <c r="BH274" s="179"/>
      <c r="BI274" s="179"/>
      <c r="BJ274" s="179"/>
      <c r="BK274" s="179"/>
      <c r="BL274" s="179"/>
      <c r="BM274" s="179"/>
      <c r="BN274" s="179"/>
      <c r="BO274" s="179"/>
      <c r="BP274" s="179"/>
      <c r="BQ274" s="179"/>
      <c r="BR274" s="179"/>
      <c r="BS274" s="179"/>
      <c r="BT274" s="179"/>
      <c r="BU274" s="179"/>
      <c r="BV274" s="179"/>
      <c r="BW274" s="179"/>
      <c r="BX274" s="179"/>
      <c r="BY274" s="179"/>
      <c r="BZ274" s="179"/>
      <c r="CA274" s="179"/>
      <c r="CB274" s="179"/>
      <c r="CC274" s="179"/>
      <c r="CD274" s="179"/>
      <c r="CE274" s="179"/>
      <c r="CF274" s="179"/>
      <c r="CG274" s="179"/>
      <c r="CH274" s="179"/>
      <c r="CI274" s="179"/>
      <c r="CJ274" s="179"/>
      <c r="CK274" s="179"/>
      <c r="CL274" s="179"/>
      <c r="CM274" s="179"/>
      <c r="CN274" s="179"/>
      <c r="CO274" s="179"/>
      <c r="CP274" s="179"/>
      <c r="CQ274" s="179"/>
      <c r="CR274" s="179"/>
      <c r="CS274" s="179"/>
      <c r="CT274" s="179"/>
      <c r="CU274" s="179"/>
      <c r="CV274" s="179"/>
      <c r="CW274" s="179"/>
      <c r="CX274" s="179"/>
      <c r="CY274" s="179"/>
      <c r="CZ274" s="179"/>
      <c r="DA274" s="179"/>
      <c r="DB274" s="179"/>
      <c r="DC274" s="179"/>
      <c r="DD274" s="179"/>
      <c r="DE274" s="179"/>
      <c r="DF274" s="179"/>
      <c r="DG274" s="179"/>
      <c r="DH274" s="179"/>
      <c r="DI274" s="179"/>
      <c r="DJ274" s="179"/>
      <c r="DK274" s="179"/>
      <c r="DL274" s="179"/>
      <c r="DM274" s="179"/>
      <c r="DN274" s="179"/>
      <c r="DO274" s="179"/>
      <c r="DP274" s="179"/>
      <c r="DQ274" s="179"/>
      <c r="DR274" s="179"/>
      <c r="DS274" s="179"/>
      <c r="DT274" s="179"/>
      <c r="DU274" s="179"/>
      <c r="DV274" s="179"/>
      <c r="DW274" s="179"/>
      <c r="DX274" s="179"/>
    </row>
    <row r="275" spans="12:128" ht="13.5">
      <c r="L275" s="167"/>
      <c r="N275" s="168"/>
      <c r="O275" s="171"/>
      <c r="Q275" s="171"/>
      <c r="R275" s="171"/>
      <c r="S275" s="173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79"/>
      <c r="AT275" s="179"/>
      <c r="AU275" s="179"/>
      <c r="AV275" s="179"/>
      <c r="AW275" s="179"/>
      <c r="AX275" s="179"/>
      <c r="AY275" s="179"/>
      <c r="AZ275" s="179"/>
      <c r="BA275" s="179"/>
      <c r="BB275" s="179"/>
      <c r="BC275" s="179"/>
      <c r="BD275" s="179"/>
      <c r="BE275" s="179"/>
      <c r="BF275" s="179"/>
      <c r="BG275" s="179"/>
      <c r="BH275" s="179"/>
      <c r="BI275" s="179"/>
      <c r="BJ275" s="179"/>
      <c r="BK275" s="179"/>
      <c r="BL275" s="179"/>
      <c r="BM275" s="179"/>
      <c r="BN275" s="179"/>
      <c r="BO275" s="179"/>
      <c r="BP275" s="179"/>
      <c r="BQ275" s="179"/>
      <c r="BR275" s="179"/>
      <c r="BS275" s="179"/>
      <c r="BT275" s="179"/>
      <c r="BU275" s="179"/>
      <c r="BV275" s="179"/>
      <c r="BW275" s="179"/>
      <c r="BX275" s="179"/>
      <c r="BY275" s="179"/>
      <c r="BZ275" s="179"/>
      <c r="CA275" s="179"/>
      <c r="CB275" s="179"/>
      <c r="CC275" s="179"/>
      <c r="CD275" s="179"/>
      <c r="CE275" s="179"/>
      <c r="CF275" s="179"/>
      <c r="CG275" s="179"/>
      <c r="CH275" s="179"/>
      <c r="CI275" s="179"/>
      <c r="CJ275" s="179"/>
      <c r="CK275" s="179"/>
      <c r="CL275" s="179"/>
      <c r="CM275" s="179"/>
      <c r="CN275" s="179"/>
      <c r="CO275" s="179"/>
      <c r="CP275" s="179"/>
      <c r="CQ275" s="179"/>
      <c r="CR275" s="179"/>
      <c r="CS275" s="179"/>
      <c r="CT275" s="179"/>
      <c r="CU275" s="179"/>
      <c r="CV275" s="179"/>
      <c r="CW275" s="179"/>
      <c r="CX275" s="179"/>
      <c r="CY275" s="179"/>
      <c r="CZ275" s="179"/>
      <c r="DA275" s="179"/>
      <c r="DB275" s="179"/>
      <c r="DC275" s="179"/>
      <c r="DD275" s="179"/>
      <c r="DE275" s="179"/>
      <c r="DF275" s="179"/>
      <c r="DG275" s="179"/>
      <c r="DH275" s="179"/>
      <c r="DI275" s="179"/>
      <c r="DJ275" s="179"/>
      <c r="DK275" s="179"/>
      <c r="DL275" s="179"/>
      <c r="DM275" s="179"/>
      <c r="DN275" s="179"/>
      <c r="DO275" s="179"/>
      <c r="DP275" s="179"/>
      <c r="DQ275" s="179"/>
      <c r="DR275" s="179"/>
      <c r="DS275" s="179"/>
      <c r="DT275" s="179"/>
      <c r="DU275" s="179"/>
      <c r="DV275" s="179"/>
      <c r="DW275" s="179"/>
      <c r="DX275" s="179"/>
    </row>
    <row r="276" spans="12:128" ht="13.5">
      <c r="L276" s="167"/>
      <c r="N276" s="168"/>
      <c r="O276" s="171"/>
      <c r="Q276" s="171"/>
      <c r="R276" s="171"/>
      <c r="S276" s="173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  <c r="BD276" s="179"/>
      <c r="BE276" s="179"/>
      <c r="BF276" s="179"/>
      <c r="BG276" s="179"/>
      <c r="BH276" s="179"/>
      <c r="BI276" s="179"/>
      <c r="BJ276" s="179"/>
      <c r="BK276" s="179"/>
      <c r="BL276" s="179"/>
      <c r="BM276" s="179"/>
      <c r="BN276" s="179"/>
      <c r="BO276" s="179"/>
      <c r="BP276" s="179"/>
      <c r="BQ276" s="179"/>
      <c r="BR276" s="179"/>
      <c r="BS276" s="179"/>
      <c r="BT276" s="179"/>
      <c r="BU276" s="179"/>
      <c r="BV276" s="179"/>
      <c r="BW276" s="179"/>
      <c r="BX276" s="179"/>
      <c r="BY276" s="179"/>
      <c r="BZ276" s="179"/>
      <c r="CA276" s="179"/>
      <c r="CB276" s="179"/>
      <c r="CC276" s="179"/>
      <c r="CD276" s="179"/>
      <c r="CE276" s="179"/>
      <c r="CF276" s="179"/>
      <c r="CG276" s="179"/>
      <c r="CH276" s="179"/>
      <c r="CI276" s="179"/>
      <c r="CJ276" s="179"/>
      <c r="CK276" s="179"/>
      <c r="CL276" s="179"/>
      <c r="CM276" s="179"/>
      <c r="CN276" s="179"/>
      <c r="CO276" s="179"/>
      <c r="CP276" s="179"/>
      <c r="CQ276" s="179"/>
      <c r="CR276" s="179"/>
      <c r="CS276" s="179"/>
      <c r="CT276" s="179"/>
      <c r="CU276" s="179"/>
      <c r="CV276" s="179"/>
      <c r="CW276" s="179"/>
      <c r="CX276" s="179"/>
      <c r="CY276" s="179"/>
      <c r="CZ276" s="179"/>
      <c r="DA276" s="179"/>
      <c r="DB276" s="179"/>
      <c r="DC276" s="179"/>
      <c r="DD276" s="179"/>
      <c r="DE276" s="179"/>
      <c r="DF276" s="179"/>
      <c r="DG276" s="179"/>
      <c r="DH276" s="179"/>
      <c r="DI276" s="179"/>
      <c r="DJ276" s="179"/>
      <c r="DK276" s="179"/>
      <c r="DL276" s="179"/>
      <c r="DM276" s="179"/>
      <c r="DN276" s="179"/>
      <c r="DO276" s="179"/>
      <c r="DP276" s="179"/>
      <c r="DQ276" s="179"/>
      <c r="DR276" s="179"/>
      <c r="DS276" s="179"/>
      <c r="DT276" s="179"/>
      <c r="DU276" s="179"/>
      <c r="DV276" s="179"/>
      <c r="DW276" s="179"/>
      <c r="DX276" s="179"/>
    </row>
    <row r="277" spans="12:128" ht="13.5">
      <c r="L277" s="167"/>
      <c r="N277" s="168"/>
      <c r="O277" s="171"/>
      <c r="Q277" s="171"/>
      <c r="R277" s="171"/>
      <c r="S277" s="173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79"/>
      <c r="AT277" s="179"/>
      <c r="AU277" s="179"/>
      <c r="AV277" s="179"/>
      <c r="AW277" s="179"/>
      <c r="AX277" s="179"/>
      <c r="AY277" s="179"/>
      <c r="AZ277" s="179"/>
      <c r="BA277" s="179"/>
      <c r="BB277" s="179"/>
      <c r="BC277" s="179"/>
      <c r="BD277" s="179"/>
      <c r="BE277" s="179"/>
      <c r="BF277" s="179"/>
      <c r="BG277" s="179"/>
      <c r="BH277" s="179"/>
      <c r="BI277" s="179"/>
      <c r="BJ277" s="179"/>
      <c r="BK277" s="179"/>
      <c r="BL277" s="179"/>
      <c r="BM277" s="179"/>
      <c r="BN277" s="179"/>
      <c r="BO277" s="179"/>
      <c r="BP277" s="179"/>
      <c r="BQ277" s="179"/>
      <c r="BR277" s="179"/>
      <c r="BS277" s="179"/>
      <c r="BT277" s="179"/>
      <c r="BU277" s="179"/>
      <c r="BV277" s="179"/>
      <c r="BW277" s="179"/>
      <c r="BX277" s="179"/>
      <c r="BY277" s="179"/>
      <c r="BZ277" s="179"/>
      <c r="CA277" s="179"/>
      <c r="CB277" s="179"/>
      <c r="CC277" s="179"/>
      <c r="CD277" s="179"/>
      <c r="CE277" s="179"/>
      <c r="CF277" s="179"/>
      <c r="CG277" s="179"/>
      <c r="CH277" s="179"/>
      <c r="CI277" s="179"/>
      <c r="CJ277" s="179"/>
      <c r="CK277" s="179"/>
      <c r="CL277" s="179"/>
      <c r="CM277" s="179"/>
      <c r="CN277" s="179"/>
      <c r="CO277" s="179"/>
      <c r="CP277" s="179"/>
      <c r="CQ277" s="179"/>
      <c r="CR277" s="179"/>
      <c r="CS277" s="179"/>
      <c r="CT277" s="179"/>
      <c r="CU277" s="179"/>
      <c r="CV277" s="179"/>
      <c r="CW277" s="179"/>
      <c r="CX277" s="179"/>
      <c r="CY277" s="179"/>
      <c r="CZ277" s="179"/>
      <c r="DA277" s="179"/>
      <c r="DB277" s="179"/>
      <c r="DC277" s="179"/>
      <c r="DD277" s="179"/>
      <c r="DE277" s="179"/>
      <c r="DF277" s="179"/>
      <c r="DG277" s="179"/>
      <c r="DH277" s="179"/>
      <c r="DI277" s="179"/>
      <c r="DJ277" s="179"/>
      <c r="DK277" s="179"/>
      <c r="DL277" s="179"/>
      <c r="DM277" s="179"/>
      <c r="DN277" s="179"/>
      <c r="DO277" s="179"/>
      <c r="DP277" s="179"/>
      <c r="DQ277" s="179"/>
      <c r="DR277" s="179"/>
      <c r="DS277" s="179"/>
      <c r="DT277" s="179"/>
      <c r="DU277" s="179"/>
      <c r="DV277" s="179"/>
      <c r="DW277" s="179"/>
      <c r="DX277" s="179"/>
    </row>
    <row r="278" spans="12:128" ht="13.5">
      <c r="L278" s="167"/>
      <c r="N278" s="168"/>
      <c r="O278" s="171"/>
      <c r="Q278" s="171"/>
      <c r="R278" s="171"/>
      <c r="S278" s="173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79"/>
      <c r="AT278" s="179"/>
      <c r="AU278" s="179"/>
      <c r="AV278" s="179"/>
      <c r="AW278" s="179"/>
      <c r="AX278" s="179"/>
      <c r="AY278" s="179"/>
      <c r="AZ278" s="179"/>
      <c r="BA278" s="179"/>
      <c r="BB278" s="179"/>
      <c r="BC278" s="179"/>
      <c r="BD278" s="179"/>
      <c r="BE278" s="179"/>
      <c r="BF278" s="179"/>
      <c r="BG278" s="179"/>
      <c r="BH278" s="179"/>
      <c r="BI278" s="179"/>
      <c r="BJ278" s="179"/>
      <c r="BK278" s="179"/>
      <c r="BL278" s="179"/>
      <c r="BM278" s="179"/>
      <c r="BN278" s="179"/>
      <c r="BO278" s="179"/>
      <c r="BP278" s="179"/>
      <c r="BQ278" s="179"/>
      <c r="BR278" s="179"/>
      <c r="BS278" s="179"/>
      <c r="BT278" s="179"/>
      <c r="BU278" s="179"/>
      <c r="BV278" s="179"/>
      <c r="BW278" s="179"/>
      <c r="BX278" s="179"/>
      <c r="BY278" s="179"/>
      <c r="BZ278" s="179"/>
      <c r="CA278" s="179"/>
      <c r="CB278" s="179"/>
      <c r="CC278" s="179"/>
      <c r="CD278" s="179"/>
      <c r="CE278" s="179"/>
      <c r="CF278" s="179"/>
      <c r="CG278" s="179"/>
      <c r="CH278" s="179"/>
      <c r="CI278" s="179"/>
      <c r="CJ278" s="179"/>
      <c r="CK278" s="179"/>
      <c r="CL278" s="179"/>
      <c r="CM278" s="179"/>
      <c r="CN278" s="179"/>
      <c r="CO278" s="179"/>
      <c r="CP278" s="179"/>
      <c r="CQ278" s="179"/>
      <c r="CR278" s="179"/>
      <c r="CS278" s="179"/>
      <c r="CT278" s="179"/>
      <c r="CU278" s="179"/>
      <c r="CV278" s="179"/>
      <c r="CW278" s="179"/>
      <c r="CX278" s="179"/>
      <c r="CY278" s="179"/>
      <c r="CZ278" s="179"/>
      <c r="DA278" s="179"/>
      <c r="DB278" s="179"/>
      <c r="DC278" s="179"/>
      <c r="DD278" s="179"/>
      <c r="DE278" s="179"/>
      <c r="DF278" s="179"/>
      <c r="DG278" s="179"/>
      <c r="DH278" s="179"/>
      <c r="DI278" s="179"/>
      <c r="DJ278" s="179"/>
      <c r="DK278" s="179"/>
      <c r="DL278" s="179"/>
      <c r="DM278" s="179"/>
      <c r="DN278" s="179"/>
      <c r="DO278" s="179"/>
      <c r="DP278" s="179"/>
      <c r="DQ278" s="179"/>
      <c r="DR278" s="179"/>
      <c r="DS278" s="179"/>
      <c r="DT278" s="179"/>
      <c r="DU278" s="179"/>
      <c r="DV278" s="179"/>
      <c r="DW278" s="179"/>
      <c r="DX278" s="179"/>
    </row>
    <row r="279" spans="12:128" ht="13.5">
      <c r="L279" s="167"/>
      <c r="N279" s="168"/>
      <c r="O279" s="171"/>
      <c r="Q279" s="171"/>
      <c r="R279" s="171"/>
      <c r="S279" s="173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79"/>
      <c r="BA279" s="179"/>
      <c r="BB279" s="179"/>
      <c r="BC279" s="179"/>
      <c r="BD279" s="179"/>
      <c r="BE279" s="179"/>
      <c r="BF279" s="179"/>
      <c r="BG279" s="179"/>
      <c r="BH279" s="179"/>
      <c r="BI279" s="179"/>
      <c r="BJ279" s="179"/>
      <c r="BK279" s="179"/>
      <c r="BL279" s="179"/>
      <c r="BM279" s="179"/>
      <c r="BN279" s="179"/>
      <c r="BO279" s="179"/>
      <c r="BP279" s="179"/>
      <c r="BQ279" s="179"/>
      <c r="BR279" s="179"/>
      <c r="BS279" s="179"/>
      <c r="BT279" s="179"/>
      <c r="BU279" s="179"/>
      <c r="BV279" s="179"/>
      <c r="BW279" s="179"/>
      <c r="BX279" s="179"/>
      <c r="BY279" s="179"/>
      <c r="BZ279" s="179"/>
      <c r="CA279" s="179"/>
      <c r="CB279" s="179"/>
      <c r="CC279" s="179"/>
      <c r="CD279" s="179"/>
      <c r="CE279" s="179"/>
      <c r="CF279" s="179"/>
      <c r="CG279" s="179"/>
      <c r="CH279" s="179"/>
      <c r="CI279" s="179"/>
      <c r="CJ279" s="179"/>
      <c r="CK279" s="179"/>
      <c r="CL279" s="179"/>
      <c r="CM279" s="179"/>
      <c r="CN279" s="179"/>
      <c r="CO279" s="179"/>
      <c r="CP279" s="179"/>
      <c r="CQ279" s="179"/>
      <c r="CR279" s="179"/>
      <c r="CS279" s="179"/>
      <c r="CT279" s="179"/>
      <c r="CU279" s="179"/>
      <c r="CV279" s="179"/>
      <c r="CW279" s="179"/>
      <c r="CX279" s="179"/>
      <c r="CY279" s="179"/>
      <c r="CZ279" s="179"/>
      <c r="DA279" s="179"/>
      <c r="DB279" s="179"/>
      <c r="DC279" s="179"/>
      <c r="DD279" s="179"/>
      <c r="DE279" s="179"/>
      <c r="DF279" s="179"/>
      <c r="DG279" s="179"/>
      <c r="DH279" s="179"/>
      <c r="DI279" s="179"/>
      <c r="DJ279" s="179"/>
      <c r="DK279" s="179"/>
      <c r="DL279" s="179"/>
      <c r="DM279" s="179"/>
      <c r="DN279" s="179"/>
      <c r="DO279" s="179"/>
      <c r="DP279" s="179"/>
      <c r="DQ279" s="179"/>
      <c r="DR279" s="179"/>
      <c r="DS279" s="179"/>
      <c r="DT279" s="179"/>
      <c r="DU279" s="179"/>
      <c r="DV279" s="179"/>
      <c r="DW279" s="179"/>
      <c r="DX279" s="179"/>
    </row>
    <row r="280" spans="12:128" ht="13.5">
      <c r="L280" s="167"/>
      <c r="N280" s="168"/>
      <c r="O280" s="171"/>
      <c r="Q280" s="171"/>
      <c r="R280" s="171"/>
      <c r="S280" s="173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79"/>
      <c r="BA280" s="179"/>
      <c r="BB280" s="179"/>
      <c r="BC280" s="179"/>
      <c r="BD280" s="179"/>
      <c r="BE280" s="179"/>
      <c r="BF280" s="179"/>
      <c r="BG280" s="179"/>
      <c r="BH280" s="179"/>
      <c r="BI280" s="179"/>
      <c r="BJ280" s="179"/>
      <c r="BK280" s="179"/>
      <c r="BL280" s="179"/>
      <c r="BM280" s="179"/>
      <c r="BN280" s="179"/>
      <c r="BO280" s="179"/>
      <c r="BP280" s="179"/>
      <c r="BQ280" s="179"/>
      <c r="BR280" s="179"/>
      <c r="BS280" s="179"/>
      <c r="BT280" s="179"/>
      <c r="BU280" s="179"/>
      <c r="BV280" s="179"/>
      <c r="BW280" s="179"/>
      <c r="BX280" s="179"/>
      <c r="BY280" s="179"/>
      <c r="BZ280" s="179"/>
      <c r="CA280" s="179"/>
      <c r="CB280" s="179"/>
      <c r="CC280" s="179"/>
      <c r="CD280" s="179"/>
      <c r="CE280" s="179"/>
      <c r="CF280" s="179"/>
      <c r="CG280" s="179"/>
      <c r="CH280" s="179"/>
      <c r="CI280" s="179"/>
      <c r="CJ280" s="179"/>
      <c r="CK280" s="179"/>
      <c r="CL280" s="179"/>
      <c r="CM280" s="179"/>
      <c r="CN280" s="179"/>
      <c r="CO280" s="179"/>
      <c r="CP280" s="179"/>
      <c r="CQ280" s="179"/>
      <c r="CR280" s="179"/>
      <c r="CS280" s="179"/>
      <c r="CT280" s="179"/>
      <c r="CU280" s="179"/>
      <c r="CV280" s="179"/>
      <c r="CW280" s="179"/>
      <c r="CX280" s="179"/>
      <c r="CY280" s="179"/>
      <c r="CZ280" s="179"/>
      <c r="DA280" s="179"/>
      <c r="DB280" s="179"/>
      <c r="DC280" s="179"/>
      <c r="DD280" s="179"/>
      <c r="DE280" s="179"/>
      <c r="DF280" s="179"/>
      <c r="DG280" s="179"/>
      <c r="DH280" s="179"/>
      <c r="DI280" s="179"/>
      <c r="DJ280" s="179"/>
      <c r="DK280" s="179"/>
      <c r="DL280" s="179"/>
      <c r="DM280" s="179"/>
      <c r="DN280" s="179"/>
      <c r="DO280" s="179"/>
      <c r="DP280" s="179"/>
      <c r="DQ280" s="179"/>
      <c r="DR280" s="179"/>
      <c r="DS280" s="179"/>
      <c r="DT280" s="179"/>
      <c r="DU280" s="179"/>
      <c r="DV280" s="179"/>
      <c r="DW280" s="179"/>
      <c r="DX280" s="179"/>
    </row>
    <row r="281" spans="12:128" ht="13.5">
      <c r="L281" s="167"/>
      <c r="N281" s="168"/>
      <c r="O281" s="171"/>
      <c r="Q281" s="171"/>
      <c r="R281" s="171"/>
      <c r="S281" s="173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79"/>
      <c r="BM281" s="179"/>
      <c r="BN281" s="179"/>
      <c r="BO281" s="179"/>
      <c r="BP281" s="179"/>
      <c r="BQ281" s="179"/>
      <c r="BR281" s="179"/>
      <c r="BS281" s="179"/>
      <c r="BT281" s="179"/>
      <c r="BU281" s="179"/>
      <c r="BV281" s="179"/>
      <c r="BW281" s="179"/>
      <c r="BX281" s="179"/>
      <c r="BY281" s="179"/>
      <c r="BZ281" s="179"/>
      <c r="CA281" s="179"/>
      <c r="CB281" s="179"/>
      <c r="CC281" s="179"/>
      <c r="CD281" s="179"/>
      <c r="CE281" s="179"/>
      <c r="CF281" s="179"/>
      <c r="CG281" s="179"/>
      <c r="CH281" s="179"/>
      <c r="CI281" s="179"/>
      <c r="CJ281" s="179"/>
      <c r="CK281" s="179"/>
      <c r="CL281" s="179"/>
      <c r="CM281" s="179"/>
      <c r="CN281" s="179"/>
      <c r="CO281" s="179"/>
      <c r="CP281" s="179"/>
      <c r="CQ281" s="179"/>
      <c r="CR281" s="179"/>
      <c r="CS281" s="179"/>
      <c r="CT281" s="179"/>
      <c r="CU281" s="179"/>
      <c r="CV281" s="179"/>
      <c r="CW281" s="179"/>
      <c r="CX281" s="179"/>
      <c r="CY281" s="179"/>
      <c r="CZ281" s="179"/>
      <c r="DA281" s="179"/>
      <c r="DB281" s="179"/>
      <c r="DC281" s="179"/>
      <c r="DD281" s="179"/>
      <c r="DE281" s="179"/>
      <c r="DF281" s="179"/>
      <c r="DG281" s="179"/>
      <c r="DH281" s="179"/>
      <c r="DI281" s="179"/>
      <c r="DJ281" s="179"/>
      <c r="DK281" s="179"/>
      <c r="DL281" s="179"/>
      <c r="DM281" s="179"/>
      <c r="DN281" s="179"/>
      <c r="DO281" s="179"/>
      <c r="DP281" s="179"/>
      <c r="DQ281" s="179"/>
      <c r="DR281" s="179"/>
      <c r="DS281" s="179"/>
      <c r="DT281" s="179"/>
      <c r="DU281" s="179"/>
      <c r="DV281" s="179"/>
      <c r="DW281" s="179"/>
      <c r="DX281" s="179"/>
    </row>
    <row r="282" spans="12:128" ht="13.5">
      <c r="L282" s="167"/>
      <c r="N282" s="168"/>
      <c r="O282" s="171"/>
      <c r="Q282" s="171"/>
      <c r="R282" s="171"/>
      <c r="S282" s="173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179"/>
      <c r="BM282" s="179"/>
      <c r="BN282" s="179"/>
      <c r="BO282" s="179"/>
      <c r="BP282" s="179"/>
      <c r="BQ282" s="179"/>
      <c r="BR282" s="179"/>
      <c r="BS282" s="179"/>
      <c r="BT282" s="179"/>
      <c r="BU282" s="179"/>
      <c r="BV282" s="179"/>
      <c r="BW282" s="179"/>
      <c r="BX282" s="179"/>
      <c r="BY282" s="179"/>
      <c r="BZ282" s="179"/>
      <c r="CA282" s="179"/>
      <c r="CB282" s="179"/>
      <c r="CC282" s="179"/>
      <c r="CD282" s="179"/>
      <c r="CE282" s="179"/>
      <c r="CF282" s="179"/>
      <c r="CG282" s="179"/>
      <c r="CH282" s="179"/>
      <c r="CI282" s="179"/>
      <c r="CJ282" s="179"/>
      <c r="CK282" s="179"/>
      <c r="CL282" s="179"/>
      <c r="CM282" s="179"/>
      <c r="CN282" s="179"/>
      <c r="CO282" s="179"/>
      <c r="CP282" s="179"/>
      <c r="CQ282" s="179"/>
      <c r="CR282" s="179"/>
      <c r="CS282" s="179"/>
      <c r="CT282" s="179"/>
      <c r="CU282" s="179"/>
      <c r="CV282" s="179"/>
      <c r="CW282" s="179"/>
      <c r="CX282" s="179"/>
      <c r="CY282" s="179"/>
      <c r="CZ282" s="179"/>
      <c r="DA282" s="179"/>
      <c r="DB282" s="179"/>
      <c r="DC282" s="179"/>
      <c r="DD282" s="179"/>
      <c r="DE282" s="179"/>
      <c r="DF282" s="179"/>
      <c r="DG282" s="179"/>
      <c r="DH282" s="179"/>
      <c r="DI282" s="179"/>
      <c r="DJ282" s="179"/>
      <c r="DK282" s="179"/>
      <c r="DL282" s="179"/>
      <c r="DM282" s="179"/>
      <c r="DN282" s="179"/>
      <c r="DO282" s="179"/>
      <c r="DP282" s="179"/>
      <c r="DQ282" s="179"/>
      <c r="DR282" s="179"/>
      <c r="DS282" s="179"/>
      <c r="DT282" s="179"/>
      <c r="DU282" s="179"/>
      <c r="DV282" s="179"/>
      <c r="DW282" s="179"/>
      <c r="DX282" s="179"/>
    </row>
    <row r="283" spans="12:128" ht="13.5">
      <c r="L283" s="167"/>
      <c r="N283" s="168"/>
      <c r="O283" s="171"/>
      <c r="Q283" s="171"/>
      <c r="R283" s="171"/>
      <c r="S283" s="173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79"/>
      <c r="BL283" s="179"/>
      <c r="BM283" s="179"/>
      <c r="BN283" s="179"/>
      <c r="BO283" s="179"/>
      <c r="BP283" s="179"/>
      <c r="BQ283" s="179"/>
      <c r="BR283" s="179"/>
      <c r="BS283" s="179"/>
      <c r="BT283" s="179"/>
      <c r="BU283" s="179"/>
      <c r="BV283" s="179"/>
      <c r="BW283" s="179"/>
      <c r="BX283" s="179"/>
      <c r="BY283" s="179"/>
      <c r="BZ283" s="179"/>
      <c r="CA283" s="179"/>
      <c r="CB283" s="179"/>
      <c r="CC283" s="179"/>
      <c r="CD283" s="179"/>
      <c r="CE283" s="179"/>
      <c r="CF283" s="179"/>
      <c r="CG283" s="179"/>
      <c r="CH283" s="179"/>
      <c r="CI283" s="179"/>
      <c r="CJ283" s="179"/>
      <c r="CK283" s="179"/>
      <c r="CL283" s="179"/>
      <c r="CM283" s="179"/>
      <c r="CN283" s="179"/>
      <c r="CO283" s="179"/>
      <c r="CP283" s="179"/>
      <c r="CQ283" s="179"/>
      <c r="CR283" s="179"/>
      <c r="CS283" s="179"/>
      <c r="CT283" s="179"/>
      <c r="CU283" s="179"/>
      <c r="CV283" s="179"/>
      <c r="CW283" s="179"/>
      <c r="CX283" s="179"/>
      <c r="CY283" s="179"/>
      <c r="CZ283" s="179"/>
      <c r="DA283" s="179"/>
      <c r="DB283" s="179"/>
      <c r="DC283" s="179"/>
      <c r="DD283" s="179"/>
      <c r="DE283" s="179"/>
      <c r="DF283" s="179"/>
      <c r="DG283" s="179"/>
      <c r="DH283" s="179"/>
      <c r="DI283" s="179"/>
      <c r="DJ283" s="179"/>
      <c r="DK283" s="179"/>
      <c r="DL283" s="179"/>
      <c r="DM283" s="179"/>
      <c r="DN283" s="179"/>
      <c r="DO283" s="179"/>
      <c r="DP283" s="179"/>
      <c r="DQ283" s="179"/>
      <c r="DR283" s="179"/>
      <c r="DS283" s="179"/>
      <c r="DT283" s="179"/>
      <c r="DU283" s="179"/>
      <c r="DV283" s="179"/>
      <c r="DW283" s="179"/>
      <c r="DX283" s="179"/>
    </row>
    <row r="284" spans="12:128" ht="13.5">
      <c r="L284" s="167"/>
      <c r="N284" s="168"/>
      <c r="O284" s="171"/>
      <c r="Q284" s="171"/>
      <c r="R284" s="171"/>
      <c r="S284" s="173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  <c r="BD284" s="179"/>
      <c r="BE284" s="179"/>
      <c r="BF284" s="179"/>
      <c r="BG284" s="179"/>
      <c r="BH284" s="179"/>
      <c r="BI284" s="179"/>
      <c r="BJ284" s="179"/>
      <c r="BK284" s="179"/>
      <c r="BL284" s="179"/>
      <c r="BM284" s="179"/>
      <c r="BN284" s="179"/>
      <c r="BO284" s="179"/>
      <c r="BP284" s="179"/>
      <c r="BQ284" s="179"/>
      <c r="BR284" s="179"/>
      <c r="BS284" s="179"/>
      <c r="BT284" s="179"/>
      <c r="BU284" s="179"/>
      <c r="BV284" s="179"/>
      <c r="BW284" s="179"/>
      <c r="BX284" s="179"/>
      <c r="BY284" s="179"/>
      <c r="BZ284" s="179"/>
      <c r="CA284" s="179"/>
      <c r="CB284" s="179"/>
      <c r="CC284" s="179"/>
      <c r="CD284" s="179"/>
      <c r="CE284" s="179"/>
      <c r="CF284" s="179"/>
      <c r="CG284" s="179"/>
      <c r="CH284" s="179"/>
      <c r="CI284" s="179"/>
      <c r="CJ284" s="179"/>
      <c r="CK284" s="179"/>
      <c r="CL284" s="179"/>
      <c r="CM284" s="179"/>
      <c r="CN284" s="179"/>
      <c r="CO284" s="179"/>
      <c r="CP284" s="179"/>
      <c r="CQ284" s="179"/>
      <c r="CR284" s="179"/>
      <c r="CS284" s="179"/>
      <c r="CT284" s="179"/>
      <c r="CU284" s="179"/>
      <c r="CV284" s="179"/>
      <c r="CW284" s="179"/>
      <c r="CX284" s="179"/>
      <c r="CY284" s="179"/>
      <c r="CZ284" s="179"/>
      <c r="DA284" s="179"/>
      <c r="DB284" s="179"/>
      <c r="DC284" s="179"/>
      <c r="DD284" s="179"/>
      <c r="DE284" s="179"/>
      <c r="DF284" s="179"/>
      <c r="DG284" s="179"/>
      <c r="DH284" s="179"/>
      <c r="DI284" s="179"/>
      <c r="DJ284" s="179"/>
      <c r="DK284" s="179"/>
      <c r="DL284" s="179"/>
      <c r="DM284" s="179"/>
      <c r="DN284" s="179"/>
      <c r="DO284" s="179"/>
      <c r="DP284" s="179"/>
      <c r="DQ284" s="179"/>
      <c r="DR284" s="179"/>
      <c r="DS284" s="179"/>
      <c r="DT284" s="179"/>
      <c r="DU284" s="179"/>
      <c r="DV284" s="179"/>
      <c r="DW284" s="179"/>
      <c r="DX284" s="179"/>
    </row>
    <row r="285" spans="12:128" ht="13.5">
      <c r="L285" s="167"/>
      <c r="N285" s="168"/>
      <c r="O285" s="171"/>
      <c r="Q285" s="171"/>
      <c r="R285" s="171"/>
      <c r="S285" s="173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  <c r="BD285" s="179"/>
      <c r="BE285" s="179"/>
      <c r="BF285" s="179"/>
      <c r="BG285" s="179"/>
      <c r="BH285" s="179"/>
      <c r="BI285" s="179"/>
      <c r="BJ285" s="179"/>
      <c r="BK285" s="179"/>
      <c r="BL285" s="179"/>
      <c r="BM285" s="179"/>
      <c r="BN285" s="179"/>
      <c r="BO285" s="179"/>
      <c r="BP285" s="179"/>
      <c r="BQ285" s="179"/>
      <c r="BR285" s="179"/>
      <c r="BS285" s="179"/>
      <c r="BT285" s="179"/>
      <c r="BU285" s="179"/>
      <c r="BV285" s="179"/>
      <c r="BW285" s="179"/>
      <c r="BX285" s="179"/>
      <c r="BY285" s="179"/>
      <c r="BZ285" s="179"/>
      <c r="CA285" s="179"/>
      <c r="CB285" s="179"/>
      <c r="CC285" s="179"/>
      <c r="CD285" s="179"/>
      <c r="CE285" s="179"/>
      <c r="CF285" s="179"/>
      <c r="CG285" s="179"/>
      <c r="CH285" s="179"/>
      <c r="CI285" s="179"/>
      <c r="CJ285" s="179"/>
      <c r="CK285" s="179"/>
      <c r="CL285" s="179"/>
      <c r="CM285" s="179"/>
      <c r="CN285" s="179"/>
      <c r="CO285" s="179"/>
      <c r="CP285" s="179"/>
      <c r="CQ285" s="179"/>
      <c r="CR285" s="179"/>
      <c r="CS285" s="179"/>
      <c r="CT285" s="179"/>
      <c r="CU285" s="179"/>
      <c r="CV285" s="179"/>
      <c r="CW285" s="179"/>
      <c r="CX285" s="179"/>
      <c r="CY285" s="179"/>
      <c r="CZ285" s="179"/>
      <c r="DA285" s="179"/>
      <c r="DB285" s="179"/>
      <c r="DC285" s="179"/>
      <c r="DD285" s="179"/>
      <c r="DE285" s="179"/>
      <c r="DF285" s="179"/>
      <c r="DG285" s="179"/>
      <c r="DH285" s="179"/>
      <c r="DI285" s="179"/>
      <c r="DJ285" s="179"/>
      <c r="DK285" s="179"/>
      <c r="DL285" s="179"/>
      <c r="DM285" s="179"/>
      <c r="DN285" s="179"/>
      <c r="DO285" s="179"/>
      <c r="DP285" s="179"/>
      <c r="DQ285" s="179"/>
      <c r="DR285" s="179"/>
      <c r="DS285" s="179"/>
      <c r="DT285" s="179"/>
      <c r="DU285" s="179"/>
      <c r="DV285" s="179"/>
      <c r="DW285" s="179"/>
      <c r="DX285" s="179"/>
    </row>
    <row r="286" spans="12:128" ht="13.5">
      <c r="L286" s="167"/>
      <c r="N286" s="168"/>
      <c r="O286" s="171"/>
      <c r="Q286" s="171"/>
      <c r="R286" s="171"/>
      <c r="S286" s="173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79"/>
      <c r="BN286" s="179"/>
      <c r="BO286" s="179"/>
      <c r="BP286" s="179"/>
      <c r="BQ286" s="179"/>
      <c r="BR286" s="179"/>
      <c r="BS286" s="179"/>
      <c r="BT286" s="179"/>
      <c r="BU286" s="179"/>
      <c r="BV286" s="179"/>
      <c r="BW286" s="179"/>
      <c r="BX286" s="179"/>
      <c r="BY286" s="179"/>
      <c r="BZ286" s="179"/>
      <c r="CA286" s="179"/>
      <c r="CB286" s="179"/>
      <c r="CC286" s="179"/>
      <c r="CD286" s="179"/>
      <c r="CE286" s="179"/>
      <c r="CF286" s="179"/>
      <c r="CG286" s="179"/>
      <c r="CH286" s="179"/>
      <c r="CI286" s="179"/>
      <c r="CJ286" s="179"/>
      <c r="CK286" s="179"/>
      <c r="CL286" s="179"/>
      <c r="CM286" s="179"/>
      <c r="CN286" s="179"/>
      <c r="CO286" s="179"/>
      <c r="CP286" s="179"/>
      <c r="CQ286" s="179"/>
      <c r="CR286" s="179"/>
      <c r="CS286" s="179"/>
      <c r="CT286" s="179"/>
      <c r="CU286" s="179"/>
      <c r="CV286" s="179"/>
      <c r="CW286" s="179"/>
      <c r="CX286" s="179"/>
      <c r="CY286" s="179"/>
      <c r="CZ286" s="179"/>
      <c r="DA286" s="179"/>
      <c r="DB286" s="179"/>
      <c r="DC286" s="179"/>
      <c r="DD286" s="179"/>
      <c r="DE286" s="179"/>
      <c r="DF286" s="179"/>
      <c r="DG286" s="179"/>
      <c r="DH286" s="179"/>
      <c r="DI286" s="179"/>
      <c r="DJ286" s="179"/>
      <c r="DK286" s="179"/>
      <c r="DL286" s="179"/>
      <c r="DM286" s="179"/>
      <c r="DN286" s="179"/>
      <c r="DO286" s="179"/>
      <c r="DP286" s="179"/>
      <c r="DQ286" s="179"/>
      <c r="DR286" s="179"/>
      <c r="DS286" s="179"/>
      <c r="DT286" s="179"/>
      <c r="DU286" s="179"/>
      <c r="DV286" s="179"/>
      <c r="DW286" s="179"/>
      <c r="DX286" s="179"/>
    </row>
    <row r="287" spans="12:128" ht="13.5">
      <c r="L287" s="167"/>
      <c r="N287" s="168"/>
      <c r="O287" s="171"/>
      <c r="Q287" s="171"/>
      <c r="R287" s="171"/>
      <c r="S287" s="173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  <c r="BD287" s="179"/>
      <c r="BE287" s="179"/>
      <c r="BF287" s="179"/>
      <c r="BG287" s="179"/>
      <c r="BH287" s="179"/>
      <c r="BI287" s="179"/>
      <c r="BJ287" s="179"/>
      <c r="BK287" s="179"/>
      <c r="BL287" s="179"/>
      <c r="BM287" s="179"/>
      <c r="BN287" s="179"/>
      <c r="BO287" s="179"/>
      <c r="BP287" s="179"/>
      <c r="BQ287" s="179"/>
      <c r="BR287" s="179"/>
      <c r="BS287" s="179"/>
      <c r="BT287" s="179"/>
      <c r="BU287" s="179"/>
      <c r="BV287" s="179"/>
      <c r="BW287" s="179"/>
      <c r="BX287" s="179"/>
      <c r="BY287" s="179"/>
      <c r="BZ287" s="179"/>
      <c r="CA287" s="179"/>
      <c r="CB287" s="179"/>
      <c r="CC287" s="179"/>
      <c r="CD287" s="179"/>
      <c r="CE287" s="179"/>
      <c r="CF287" s="179"/>
      <c r="CG287" s="179"/>
      <c r="CH287" s="179"/>
      <c r="CI287" s="179"/>
      <c r="CJ287" s="179"/>
      <c r="CK287" s="179"/>
      <c r="CL287" s="179"/>
      <c r="CM287" s="179"/>
      <c r="CN287" s="179"/>
      <c r="CO287" s="179"/>
      <c r="CP287" s="179"/>
      <c r="CQ287" s="179"/>
      <c r="CR287" s="179"/>
      <c r="CS287" s="179"/>
      <c r="CT287" s="179"/>
      <c r="CU287" s="179"/>
      <c r="CV287" s="179"/>
      <c r="CW287" s="179"/>
      <c r="CX287" s="179"/>
      <c r="CY287" s="179"/>
      <c r="CZ287" s="179"/>
      <c r="DA287" s="179"/>
      <c r="DB287" s="179"/>
      <c r="DC287" s="179"/>
      <c r="DD287" s="179"/>
      <c r="DE287" s="179"/>
      <c r="DF287" s="179"/>
      <c r="DG287" s="179"/>
      <c r="DH287" s="179"/>
      <c r="DI287" s="179"/>
      <c r="DJ287" s="179"/>
      <c r="DK287" s="179"/>
      <c r="DL287" s="179"/>
      <c r="DM287" s="179"/>
      <c r="DN287" s="179"/>
      <c r="DO287" s="179"/>
      <c r="DP287" s="179"/>
      <c r="DQ287" s="179"/>
      <c r="DR287" s="179"/>
      <c r="DS287" s="179"/>
      <c r="DT287" s="179"/>
      <c r="DU287" s="179"/>
      <c r="DV287" s="179"/>
      <c r="DW287" s="179"/>
      <c r="DX287" s="179"/>
    </row>
    <row r="288" spans="12:128" ht="13.5">
      <c r="L288" s="167"/>
      <c r="N288" s="168"/>
      <c r="O288" s="171"/>
      <c r="Q288" s="171"/>
      <c r="R288" s="171"/>
      <c r="S288" s="173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79"/>
      <c r="BN288" s="179"/>
      <c r="BO288" s="179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179"/>
      <c r="BZ288" s="179"/>
      <c r="CA288" s="179"/>
      <c r="CB288" s="179"/>
      <c r="CC288" s="179"/>
      <c r="CD288" s="179"/>
      <c r="CE288" s="179"/>
      <c r="CF288" s="179"/>
      <c r="CG288" s="179"/>
      <c r="CH288" s="179"/>
      <c r="CI288" s="179"/>
      <c r="CJ288" s="179"/>
      <c r="CK288" s="179"/>
      <c r="CL288" s="179"/>
      <c r="CM288" s="179"/>
      <c r="CN288" s="179"/>
      <c r="CO288" s="179"/>
      <c r="CP288" s="179"/>
      <c r="CQ288" s="179"/>
      <c r="CR288" s="179"/>
      <c r="CS288" s="179"/>
      <c r="CT288" s="179"/>
      <c r="CU288" s="179"/>
      <c r="CV288" s="179"/>
      <c r="CW288" s="179"/>
      <c r="CX288" s="179"/>
      <c r="CY288" s="179"/>
      <c r="CZ288" s="179"/>
      <c r="DA288" s="179"/>
      <c r="DB288" s="179"/>
      <c r="DC288" s="179"/>
      <c r="DD288" s="179"/>
      <c r="DE288" s="179"/>
      <c r="DF288" s="179"/>
      <c r="DG288" s="179"/>
      <c r="DH288" s="179"/>
      <c r="DI288" s="179"/>
      <c r="DJ288" s="179"/>
      <c r="DK288" s="179"/>
      <c r="DL288" s="179"/>
      <c r="DM288" s="179"/>
      <c r="DN288" s="179"/>
      <c r="DO288" s="179"/>
      <c r="DP288" s="179"/>
      <c r="DQ288" s="179"/>
      <c r="DR288" s="179"/>
      <c r="DS288" s="179"/>
      <c r="DT288" s="179"/>
      <c r="DU288" s="179"/>
      <c r="DV288" s="179"/>
      <c r="DW288" s="179"/>
      <c r="DX288" s="179"/>
    </row>
    <row r="289" spans="12:128" ht="13.5">
      <c r="L289" s="167"/>
      <c r="N289" s="168"/>
      <c r="O289" s="171"/>
      <c r="Q289" s="171"/>
      <c r="R289" s="171"/>
      <c r="S289" s="173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79"/>
      <c r="BN289" s="179"/>
      <c r="BO289" s="179"/>
      <c r="BP289" s="179"/>
      <c r="BQ289" s="179"/>
      <c r="BR289" s="179"/>
      <c r="BS289" s="179"/>
      <c r="BT289" s="179"/>
      <c r="BU289" s="179"/>
      <c r="BV289" s="179"/>
      <c r="BW289" s="179"/>
      <c r="BX289" s="179"/>
      <c r="BY289" s="179"/>
      <c r="BZ289" s="179"/>
      <c r="CA289" s="179"/>
      <c r="CB289" s="179"/>
      <c r="CC289" s="179"/>
      <c r="CD289" s="179"/>
      <c r="CE289" s="179"/>
      <c r="CF289" s="179"/>
      <c r="CG289" s="179"/>
      <c r="CH289" s="179"/>
      <c r="CI289" s="179"/>
      <c r="CJ289" s="179"/>
      <c r="CK289" s="179"/>
      <c r="CL289" s="179"/>
      <c r="CM289" s="179"/>
      <c r="CN289" s="179"/>
      <c r="CO289" s="179"/>
      <c r="CP289" s="179"/>
      <c r="CQ289" s="179"/>
      <c r="CR289" s="179"/>
      <c r="CS289" s="179"/>
      <c r="CT289" s="179"/>
      <c r="CU289" s="179"/>
      <c r="CV289" s="179"/>
      <c r="CW289" s="179"/>
      <c r="CX289" s="179"/>
      <c r="CY289" s="179"/>
      <c r="CZ289" s="179"/>
      <c r="DA289" s="179"/>
      <c r="DB289" s="179"/>
      <c r="DC289" s="179"/>
      <c r="DD289" s="179"/>
      <c r="DE289" s="179"/>
      <c r="DF289" s="179"/>
      <c r="DG289" s="179"/>
      <c r="DH289" s="179"/>
      <c r="DI289" s="179"/>
      <c r="DJ289" s="179"/>
      <c r="DK289" s="179"/>
      <c r="DL289" s="179"/>
      <c r="DM289" s="179"/>
      <c r="DN289" s="179"/>
      <c r="DO289" s="179"/>
      <c r="DP289" s="179"/>
      <c r="DQ289" s="179"/>
      <c r="DR289" s="179"/>
      <c r="DS289" s="179"/>
      <c r="DT289" s="179"/>
      <c r="DU289" s="179"/>
      <c r="DV289" s="179"/>
      <c r="DW289" s="179"/>
      <c r="DX289" s="179"/>
    </row>
    <row r="290" spans="12:128" ht="13.5">
      <c r="L290" s="167"/>
      <c r="N290" s="168"/>
      <c r="O290" s="171"/>
      <c r="Q290" s="171"/>
      <c r="R290" s="171"/>
      <c r="S290" s="173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79"/>
      <c r="BN290" s="179"/>
      <c r="BO290" s="179"/>
      <c r="BP290" s="179"/>
      <c r="BQ290" s="179"/>
      <c r="BR290" s="179"/>
      <c r="BS290" s="179"/>
      <c r="BT290" s="179"/>
      <c r="BU290" s="179"/>
      <c r="BV290" s="179"/>
      <c r="BW290" s="179"/>
      <c r="BX290" s="179"/>
      <c r="BY290" s="179"/>
      <c r="BZ290" s="179"/>
      <c r="CA290" s="179"/>
      <c r="CB290" s="179"/>
      <c r="CC290" s="179"/>
      <c r="CD290" s="179"/>
      <c r="CE290" s="179"/>
      <c r="CF290" s="179"/>
      <c r="CG290" s="179"/>
      <c r="CH290" s="179"/>
      <c r="CI290" s="179"/>
      <c r="CJ290" s="179"/>
      <c r="CK290" s="179"/>
      <c r="CL290" s="179"/>
      <c r="CM290" s="179"/>
      <c r="CN290" s="179"/>
      <c r="CO290" s="179"/>
      <c r="CP290" s="179"/>
      <c r="CQ290" s="179"/>
      <c r="CR290" s="179"/>
      <c r="CS290" s="179"/>
      <c r="CT290" s="179"/>
      <c r="CU290" s="179"/>
      <c r="CV290" s="179"/>
      <c r="CW290" s="179"/>
      <c r="CX290" s="179"/>
      <c r="CY290" s="179"/>
      <c r="CZ290" s="179"/>
      <c r="DA290" s="179"/>
      <c r="DB290" s="179"/>
      <c r="DC290" s="179"/>
      <c r="DD290" s="179"/>
      <c r="DE290" s="179"/>
      <c r="DF290" s="179"/>
      <c r="DG290" s="179"/>
      <c r="DH290" s="179"/>
      <c r="DI290" s="179"/>
      <c r="DJ290" s="179"/>
      <c r="DK290" s="179"/>
      <c r="DL290" s="179"/>
      <c r="DM290" s="179"/>
      <c r="DN290" s="179"/>
      <c r="DO290" s="179"/>
      <c r="DP290" s="179"/>
      <c r="DQ290" s="179"/>
      <c r="DR290" s="179"/>
      <c r="DS290" s="179"/>
      <c r="DT290" s="179"/>
      <c r="DU290" s="179"/>
      <c r="DV290" s="179"/>
      <c r="DW290" s="179"/>
      <c r="DX290" s="179"/>
    </row>
    <row r="291" spans="12:128" ht="13.5">
      <c r="L291" s="167"/>
      <c r="N291" s="168"/>
      <c r="O291" s="171"/>
      <c r="Q291" s="171"/>
      <c r="R291" s="171"/>
      <c r="S291" s="173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BZ291" s="179"/>
      <c r="CA291" s="179"/>
      <c r="CB291" s="179"/>
      <c r="CC291" s="179"/>
      <c r="CD291" s="179"/>
      <c r="CE291" s="179"/>
      <c r="CF291" s="179"/>
      <c r="CG291" s="179"/>
      <c r="CH291" s="179"/>
      <c r="CI291" s="179"/>
      <c r="CJ291" s="179"/>
      <c r="CK291" s="179"/>
      <c r="CL291" s="179"/>
      <c r="CM291" s="179"/>
      <c r="CN291" s="179"/>
      <c r="CO291" s="179"/>
      <c r="CP291" s="179"/>
      <c r="CQ291" s="179"/>
      <c r="CR291" s="179"/>
      <c r="CS291" s="179"/>
      <c r="CT291" s="179"/>
      <c r="CU291" s="179"/>
      <c r="CV291" s="179"/>
      <c r="CW291" s="179"/>
      <c r="CX291" s="179"/>
      <c r="CY291" s="179"/>
      <c r="CZ291" s="179"/>
      <c r="DA291" s="179"/>
      <c r="DB291" s="179"/>
      <c r="DC291" s="179"/>
      <c r="DD291" s="179"/>
      <c r="DE291" s="179"/>
      <c r="DF291" s="179"/>
      <c r="DG291" s="179"/>
      <c r="DH291" s="179"/>
      <c r="DI291" s="179"/>
      <c r="DJ291" s="179"/>
      <c r="DK291" s="179"/>
      <c r="DL291" s="179"/>
      <c r="DM291" s="179"/>
      <c r="DN291" s="179"/>
      <c r="DO291" s="179"/>
      <c r="DP291" s="179"/>
      <c r="DQ291" s="179"/>
      <c r="DR291" s="179"/>
      <c r="DS291" s="179"/>
      <c r="DT291" s="179"/>
      <c r="DU291" s="179"/>
      <c r="DV291" s="179"/>
      <c r="DW291" s="179"/>
      <c r="DX291" s="179"/>
    </row>
    <row r="292" spans="12:128" ht="13.5">
      <c r="L292" s="167"/>
      <c r="N292" s="168"/>
      <c r="O292" s="171"/>
      <c r="Q292" s="171"/>
      <c r="R292" s="171"/>
      <c r="S292" s="173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  <c r="BD292" s="179"/>
      <c r="BE292" s="179"/>
      <c r="BF292" s="179"/>
      <c r="BG292" s="179"/>
      <c r="BH292" s="179"/>
      <c r="BI292" s="179"/>
      <c r="BJ292" s="179"/>
      <c r="BK292" s="179"/>
      <c r="BL292" s="179"/>
      <c r="BM292" s="179"/>
      <c r="BN292" s="179"/>
      <c r="BO292" s="179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179"/>
      <c r="BZ292" s="179"/>
      <c r="CA292" s="179"/>
      <c r="CB292" s="179"/>
      <c r="CC292" s="179"/>
      <c r="CD292" s="179"/>
      <c r="CE292" s="179"/>
      <c r="CF292" s="179"/>
      <c r="CG292" s="179"/>
      <c r="CH292" s="179"/>
      <c r="CI292" s="179"/>
      <c r="CJ292" s="179"/>
      <c r="CK292" s="179"/>
      <c r="CL292" s="179"/>
      <c r="CM292" s="179"/>
      <c r="CN292" s="179"/>
      <c r="CO292" s="179"/>
      <c r="CP292" s="179"/>
      <c r="CQ292" s="179"/>
      <c r="CR292" s="179"/>
      <c r="CS292" s="179"/>
      <c r="CT292" s="179"/>
      <c r="CU292" s="179"/>
      <c r="CV292" s="179"/>
      <c r="CW292" s="179"/>
      <c r="CX292" s="179"/>
      <c r="CY292" s="179"/>
      <c r="CZ292" s="179"/>
      <c r="DA292" s="179"/>
      <c r="DB292" s="179"/>
      <c r="DC292" s="179"/>
      <c r="DD292" s="179"/>
      <c r="DE292" s="179"/>
      <c r="DF292" s="179"/>
      <c r="DG292" s="179"/>
      <c r="DH292" s="179"/>
      <c r="DI292" s="179"/>
      <c r="DJ292" s="179"/>
      <c r="DK292" s="179"/>
      <c r="DL292" s="179"/>
      <c r="DM292" s="179"/>
      <c r="DN292" s="179"/>
      <c r="DO292" s="179"/>
      <c r="DP292" s="179"/>
      <c r="DQ292" s="179"/>
      <c r="DR292" s="179"/>
      <c r="DS292" s="179"/>
      <c r="DT292" s="179"/>
      <c r="DU292" s="179"/>
      <c r="DV292" s="179"/>
      <c r="DW292" s="179"/>
      <c r="DX292" s="179"/>
    </row>
    <row r="293" spans="12:128" ht="13.5">
      <c r="L293" s="167"/>
      <c r="N293" s="168"/>
      <c r="O293" s="171"/>
      <c r="Q293" s="171"/>
      <c r="R293" s="171"/>
      <c r="S293" s="173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79"/>
      <c r="AW293" s="179"/>
      <c r="AX293" s="179"/>
      <c r="AY293" s="179"/>
      <c r="AZ293" s="179"/>
      <c r="BA293" s="179"/>
      <c r="BB293" s="179"/>
      <c r="BC293" s="179"/>
      <c r="BD293" s="179"/>
      <c r="BE293" s="179"/>
      <c r="BF293" s="179"/>
      <c r="BG293" s="179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BZ293" s="179"/>
      <c r="CA293" s="179"/>
      <c r="CB293" s="179"/>
      <c r="CC293" s="179"/>
      <c r="CD293" s="179"/>
      <c r="CE293" s="179"/>
      <c r="CF293" s="179"/>
      <c r="CG293" s="179"/>
      <c r="CH293" s="179"/>
      <c r="CI293" s="179"/>
      <c r="CJ293" s="179"/>
      <c r="CK293" s="179"/>
      <c r="CL293" s="179"/>
      <c r="CM293" s="179"/>
      <c r="CN293" s="179"/>
      <c r="CO293" s="179"/>
      <c r="CP293" s="179"/>
      <c r="CQ293" s="179"/>
      <c r="CR293" s="179"/>
      <c r="CS293" s="179"/>
      <c r="CT293" s="179"/>
      <c r="CU293" s="179"/>
      <c r="CV293" s="179"/>
      <c r="CW293" s="179"/>
      <c r="CX293" s="179"/>
      <c r="CY293" s="179"/>
      <c r="CZ293" s="179"/>
      <c r="DA293" s="179"/>
      <c r="DB293" s="179"/>
      <c r="DC293" s="179"/>
      <c r="DD293" s="179"/>
      <c r="DE293" s="179"/>
      <c r="DF293" s="179"/>
      <c r="DG293" s="179"/>
      <c r="DH293" s="179"/>
      <c r="DI293" s="179"/>
      <c r="DJ293" s="179"/>
      <c r="DK293" s="179"/>
      <c r="DL293" s="179"/>
      <c r="DM293" s="179"/>
      <c r="DN293" s="179"/>
      <c r="DO293" s="179"/>
      <c r="DP293" s="179"/>
      <c r="DQ293" s="179"/>
      <c r="DR293" s="179"/>
      <c r="DS293" s="179"/>
      <c r="DT293" s="179"/>
      <c r="DU293" s="179"/>
      <c r="DV293" s="179"/>
      <c r="DW293" s="179"/>
      <c r="DX293" s="179"/>
    </row>
    <row r="294" spans="12:128" ht="13.5">
      <c r="L294" s="167"/>
      <c r="N294" s="168"/>
      <c r="O294" s="171"/>
      <c r="Q294" s="171"/>
      <c r="R294" s="171"/>
      <c r="S294" s="173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BZ294" s="179"/>
      <c r="CA294" s="179"/>
      <c r="CB294" s="179"/>
      <c r="CC294" s="179"/>
      <c r="CD294" s="179"/>
      <c r="CE294" s="179"/>
      <c r="CF294" s="179"/>
      <c r="CG294" s="179"/>
      <c r="CH294" s="179"/>
      <c r="CI294" s="179"/>
      <c r="CJ294" s="179"/>
      <c r="CK294" s="179"/>
      <c r="CL294" s="179"/>
      <c r="CM294" s="179"/>
      <c r="CN294" s="179"/>
      <c r="CO294" s="179"/>
      <c r="CP294" s="179"/>
      <c r="CQ294" s="179"/>
      <c r="CR294" s="179"/>
      <c r="CS294" s="179"/>
      <c r="CT294" s="179"/>
      <c r="CU294" s="179"/>
      <c r="CV294" s="179"/>
      <c r="CW294" s="179"/>
      <c r="CX294" s="179"/>
      <c r="CY294" s="179"/>
      <c r="CZ294" s="179"/>
      <c r="DA294" s="179"/>
      <c r="DB294" s="179"/>
      <c r="DC294" s="179"/>
      <c r="DD294" s="179"/>
      <c r="DE294" s="179"/>
      <c r="DF294" s="179"/>
      <c r="DG294" s="179"/>
      <c r="DH294" s="179"/>
      <c r="DI294" s="179"/>
      <c r="DJ294" s="179"/>
      <c r="DK294" s="179"/>
      <c r="DL294" s="179"/>
      <c r="DM294" s="179"/>
      <c r="DN294" s="179"/>
      <c r="DO294" s="179"/>
      <c r="DP294" s="179"/>
      <c r="DQ294" s="179"/>
      <c r="DR294" s="179"/>
      <c r="DS294" s="179"/>
      <c r="DT294" s="179"/>
      <c r="DU294" s="179"/>
      <c r="DV294" s="179"/>
      <c r="DW294" s="179"/>
      <c r="DX294" s="179"/>
    </row>
    <row r="295" spans="12:128" ht="13.5">
      <c r="L295" s="167"/>
      <c r="N295" s="168"/>
      <c r="O295" s="171"/>
      <c r="Q295" s="171"/>
      <c r="R295" s="171"/>
      <c r="S295" s="173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79"/>
      <c r="CB295" s="179"/>
      <c r="CC295" s="179"/>
      <c r="CD295" s="179"/>
      <c r="CE295" s="179"/>
      <c r="CF295" s="179"/>
      <c r="CG295" s="179"/>
      <c r="CH295" s="179"/>
      <c r="CI295" s="179"/>
      <c r="CJ295" s="179"/>
      <c r="CK295" s="179"/>
      <c r="CL295" s="179"/>
      <c r="CM295" s="179"/>
      <c r="CN295" s="179"/>
      <c r="CO295" s="179"/>
      <c r="CP295" s="179"/>
      <c r="CQ295" s="179"/>
      <c r="CR295" s="179"/>
      <c r="CS295" s="179"/>
      <c r="CT295" s="179"/>
      <c r="CU295" s="179"/>
      <c r="CV295" s="179"/>
      <c r="CW295" s="179"/>
      <c r="CX295" s="179"/>
      <c r="CY295" s="179"/>
      <c r="CZ295" s="179"/>
      <c r="DA295" s="179"/>
      <c r="DB295" s="179"/>
      <c r="DC295" s="179"/>
      <c r="DD295" s="179"/>
      <c r="DE295" s="179"/>
      <c r="DF295" s="179"/>
      <c r="DG295" s="179"/>
      <c r="DH295" s="179"/>
      <c r="DI295" s="179"/>
      <c r="DJ295" s="179"/>
      <c r="DK295" s="179"/>
      <c r="DL295" s="179"/>
      <c r="DM295" s="179"/>
      <c r="DN295" s="179"/>
      <c r="DO295" s="179"/>
      <c r="DP295" s="179"/>
      <c r="DQ295" s="179"/>
      <c r="DR295" s="179"/>
      <c r="DS295" s="179"/>
      <c r="DT295" s="179"/>
      <c r="DU295" s="179"/>
      <c r="DV295" s="179"/>
      <c r="DW295" s="179"/>
      <c r="DX295" s="179"/>
    </row>
    <row r="296" spans="12:128" ht="13.5">
      <c r="L296" s="167"/>
      <c r="N296" s="168"/>
      <c r="O296" s="171"/>
      <c r="Q296" s="171"/>
      <c r="R296" s="171"/>
      <c r="S296" s="173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179"/>
      <c r="BZ296" s="179"/>
      <c r="CA296" s="179"/>
      <c r="CB296" s="179"/>
      <c r="CC296" s="179"/>
      <c r="CD296" s="179"/>
      <c r="CE296" s="179"/>
      <c r="CF296" s="179"/>
      <c r="CG296" s="179"/>
      <c r="CH296" s="179"/>
      <c r="CI296" s="179"/>
      <c r="CJ296" s="179"/>
      <c r="CK296" s="179"/>
      <c r="CL296" s="179"/>
      <c r="CM296" s="179"/>
      <c r="CN296" s="179"/>
      <c r="CO296" s="179"/>
      <c r="CP296" s="179"/>
      <c r="CQ296" s="179"/>
      <c r="CR296" s="179"/>
      <c r="CS296" s="179"/>
      <c r="CT296" s="179"/>
      <c r="CU296" s="179"/>
      <c r="CV296" s="179"/>
      <c r="CW296" s="179"/>
      <c r="CX296" s="179"/>
      <c r="CY296" s="179"/>
      <c r="CZ296" s="179"/>
      <c r="DA296" s="179"/>
      <c r="DB296" s="179"/>
      <c r="DC296" s="179"/>
      <c r="DD296" s="179"/>
      <c r="DE296" s="179"/>
      <c r="DF296" s="179"/>
      <c r="DG296" s="179"/>
      <c r="DH296" s="179"/>
      <c r="DI296" s="179"/>
      <c r="DJ296" s="179"/>
      <c r="DK296" s="179"/>
      <c r="DL296" s="179"/>
      <c r="DM296" s="179"/>
      <c r="DN296" s="179"/>
      <c r="DO296" s="179"/>
      <c r="DP296" s="179"/>
      <c r="DQ296" s="179"/>
      <c r="DR296" s="179"/>
      <c r="DS296" s="179"/>
      <c r="DT296" s="179"/>
      <c r="DU296" s="179"/>
      <c r="DV296" s="179"/>
      <c r="DW296" s="179"/>
      <c r="DX296" s="179"/>
    </row>
    <row r="297" spans="12:128" ht="13.5">
      <c r="L297" s="167"/>
      <c r="N297" s="168"/>
      <c r="O297" s="171"/>
      <c r="Q297" s="171"/>
      <c r="R297" s="171"/>
      <c r="S297" s="173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179"/>
      <c r="CB297" s="179"/>
      <c r="CC297" s="179"/>
      <c r="CD297" s="179"/>
      <c r="CE297" s="179"/>
      <c r="CF297" s="179"/>
      <c r="CG297" s="179"/>
      <c r="CH297" s="179"/>
      <c r="CI297" s="179"/>
      <c r="CJ297" s="179"/>
      <c r="CK297" s="179"/>
      <c r="CL297" s="179"/>
      <c r="CM297" s="179"/>
      <c r="CN297" s="179"/>
      <c r="CO297" s="179"/>
      <c r="CP297" s="179"/>
      <c r="CQ297" s="179"/>
      <c r="CR297" s="179"/>
      <c r="CS297" s="179"/>
      <c r="CT297" s="179"/>
      <c r="CU297" s="179"/>
      <c r="CV297" s="179"/>
      <c r="CW297" s="179"/>
      <c r="CX297" s="179"/>
      <c r="CY297" s="179"/>
      <c r="CZ297" s="179"/>
      <c r="DA297" s="179"/>
      <c r="DB297" s="179"/>
      <c r="DC297" s="179"/>
      <c r="DD297" s="179"/>
      <c r="DE297" s="179"/>
      <c r="DF297" s="179"/>
      <c r="DG297" s="179"/>
      <c r="DH297" s="179"/>
      <c r="DI297" s="179"/>
      <c r="DJ297" s="179"/>
      <c r="DK297" s="179"/>
      <c r="DL297" s="179"/>
      <c r="DM297" s="179"/>
      <c r="DN297" s="179"/>
      <c r="DO297" s="179"/>
      <c r="DP297" s="179"/>
      <c r="DQ297" s="179"/>
      <c r="DR297" s="179"/>
      <c r="DS297" s="179"/>
      <c r="DT297" s="179"/>
      <c r="DU297" s="179"/>
      <c r="DV297" s="179"/>
      <c r="DW297" s="179"/>
      <c r="DX297" s="179"/>
    </row>
    <row r="298" spans="12:128" ht="13.5">
      <c r="L298" s="167"/>
      <c r="N298" s="168"/>
      <c r="O298" s="171"/>
      <c r="Q298" s="171"/>
      <c r="R298" s="171"/>
      <c r="S298" s="173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79"/>
      <c r="BZ298" s="179"/>
      <c r="CA298" s="179"/>
      <c r="CB298" s="179"/>
      <c r="CC298" s="179"/>
      <c r="CD298" s="179"/>
      <c r="CE298" s="179"/>
      <c r="CF298" s="179"/>
      <c r="CG298" s="179"/>
      <c r="CH298" s="179"/>
      <c r="CI298" s="179"/>
      <c r="CJ298" s="179"/>
      <c r="CK298" s="179"/>
      <c r="CL298" s="179"/>
      <c r="CM298" s="179"/>
      <c r="CN298" s="179"/>
      <c r="CO298" s="179"/>
      <c r="CP298" s="179"/>
      <c r="CQ298" s="179"/>
      <c r="CR298" s="179"/>
      <c r="CS298" s="179"/>
      <c r="CT298" s="179"/>
      <c r="CU298" s="179"/>
      <c r="CV298" s="179"/>
      <c r="CW298" s="179"/>
      <c r="CX298" s="179"/>
      <c r="CY298" s="179"/>
      <c r="CZ298" s="179"/>
      <c r="DA298" s="179"/>
      <c r="DB298" s="179"/>
      <c r="DC298" s="179"/>
      <c r="DD298" s="179"/>
      <c r="DE298" s="179"/>
      <c r="DF298" s="179"/>
      <c r="DG298" s="179"/>
      <c r="DH298" s="179"/>
      <c r="DI298" s="179"/>
      <c r="DJ298" s="179"/>
      <c r="DK298" s="179"/>
      <c r="DL298" s="179"/>
      <c r="DM298" s="179"/>
      <c r="DN298" s="179"/>
      <c r="DO298" s="179"/>
      <c r="DP298" s="179"/>
      <c r="DQ298" s="179"/>
      <c r="DR298" s="179"/>
      <c r="DS298" s="179"/>
      <c r="DT298" s="179"/>
      <c r="DU298" s="179"/>
      <c r="DV298" s="179"/>
      <c r="DW298" s="179"/>
      <c r="DX298" s="179"/>
    </row>
    <row r="299" spans="12:128" ht="13.5">
      <c r="L299" s="167"/>
      <c r="N299" s="168"/>
      <c r="O299" s="171"/>
      <c r="Q299" s="171"/>
      <c r="R299" s="171"/>
      <c r="S299" s="173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179"/>
      <c r="CB299" s="179"/>
      <c r="CC299" s="179"/>
      <c r="CD299" s="179"/>
      <c r="CE299" s="179"/>
      <c r="CF299" s="179"/>
      <c r="CG299" s="179"/>
      <c r="CH299" s="179"/>
      <c r="CI299" s="179"/>
      <c r="CJ299" s="179"/>
      <c r="CK299" s="179"/>
      <c r="CL299" s="179"/>
      <c r="CM299" s="179"/>
      <c r="CN299" s="179"/>
      <c r="CO299" s="179"/>
      <c r="CP299" s="179"/>
      <c r="CQ299" s="179"/>
      <c r="CR299" s="179"/>
      <c r="CS299" s="179"/>
      <c r="CT299" s="179"/>
      <c r="CU299" s="179"/>
      <c r="CV299" s="179"/>
      <c r="CW299" s="179"/>
      <c r="CX299" s="179"/>
      <c r="CY299" s="179"/>
      <c r="CZ299" s="179"/>
      <c r="DA299" s="179"/>
      <c r="DB299" s="179"/>
      <c r="DC299" s="179"/>
      <c r="DD299" s="179"/>
      <c r="DE299" s="179"/>
      <c r="DF299" s="179"/>
      <c r="DG299" s="179"/>
      <c r="DH299" s="179"/>
      <c r="DI299" s="179"/>
      <c r="DJ299" s="179"/>
      <c r="DK299" s="179"/>
      <c r="DL299" s="179"/>
      <c r="DM299" s="179"/>
      <c r="DN299" s="179"/>
      <c r="DO299" s="179"/>
      <c r="DP299" s="179"/>
      <c r="DQ299" s="179"/>
      <c r="DR299" s="179"/>
      <c r="DS299" s="179"/>
      <c r="DT299" s="179"/>
      <c r="DU299" s="179"/>
      <c r="DV299" s="179"/>
      <c r="DW299" s="179"/>
      <c r="DX299" s="179"/>
    </row>
    <row r="300" spans="12:128" ht="13.5">
      <c r="L300" s="167"/>
      <c r="N300" s="168"/>
      <c r="O300" s="171"/>
      <c r="Q300" s="171"/>
      <c r="R300" s="171"/>
      <c r="S300" s="173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79"/>
      <c r="BG300" s="179"/>
      <c r="BH300" s="179"/>
      <c r="BI300" s="179"/>
      <c r="BJ300" s="179"/>
      <c r="BK300" s="179"/>
      <c r="BL300" s="179"/>
      <c r="BM300" s="179"/>
      <c r="BN300" s="179"/>
      <c r="BO300" s="179"/>
      <c r="BP300" s="179"/>
      <c r="BQ300" s="179"/>
      <c r="BR300" s="179"/>
      <c r="BS300" s="179"/>
      <c r="BT300" s="179"/>
      <c r="BU300" s="179"/>
      <c r="BV300" s="179"/>
      <c r="BW300" s="179"/>
      <c r="BX300" s="179"/>
      <c r="BY300" s="179"/>
      <c r="BZ300" s="179"/>
      <c r="CA300" s="179"/>
      <c r="CB300" s="179"/>
      <c r="CC300" s="179"/>
      <c r="CD300" s="179"/>
      <c r="CE300" s="179"/>
      <c r="CF300" s="179"/>
      <c r="CG300" s="179"/>
      <c r="CH300" s="179"/>
      <c r="CI300" s="179"/>
      <c r="CJ300" s="179"/>
      <c r="CK300" s="179"/>
      <c r="CL300" s="179"/>
      <c r="CM300" s="179"/>
      <c r="CN300" s="179"/>
      <c r="CO300" s="179"/>
      <c r="CP300" s="179"/>
      <c r="CQ300" s="179"/>
      <c r="CR300" s="179"/>
      <c r="CS300" s="179"/>
      <c r="CT300" s="179"/>
      <c r="CU300" s="179"/>
      <c r="CV300" s="179"/>
      <c r="CW300" s="179"/>
      <c r="CX300" s="179"/>
      <c r="CY300" s="179"/>
      <c r="CZ300" s="179"/>
      <c r="DA300" s="179"/>
      <c r="DB300" s="179"/>
      <c r="DC300" s="179"/>
      <c r="DD300" s="179"/>
      <c r="DE300" s="179"/>
      <c r="DF300" s="179"/>
      <c r="DG300" s="179"/>
      <c r="DH300" s="179"/>
      <c r="DI300" s="179"/>
      <c r="DJ300" s="179"/>
      <c r="DK300" s="179"/>
      <c r="DL300" s="179"/>
      <c r="DM300" s="179"/>
      <c r="DN300" s="179"/>
      <c r="DO300" s="179"/>
      <c r="DP300" s="179"/>
      <c r="DQ300" s="179"/>
      <c r="DR300" s="179"/>
      <c r="DS300" s="179"/>
      <c r="DT300" s="179"/>
      <c r="DU300" s="179"/>
      <c r="DV300" s="179"/>
      <c r="DW300" s="179"/>
      <c r="DX300" s="179"/>
    </row>
    <row r="301" spans="12:128" ht="13.5">
      <c r="L301" s="167"/>
      <c r="N301" s="168"/>
      <c r="O301" s="171"/>
      <c r="Q301" s="171"/>
      <c r="R301" s="171"/>
      <c r="S301" s="173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179"/>
      <c r="CB301" s="179"/>
      <c r="CC301" s="179"/>
      <c r="CD301" s="179"/>
      <c r="CE301" s="179"/>
      <c r="CF301" s="179"/>
      <c r="CG301" s="179"/>
      <c r="CH301" s="179"/>
      <c r="CI301" s="179"/>
      <c r="CJ301" s="179"/>
      <c r="CK301" s="179"/>
      <c r="CL301" s="179"/>
      <c r="CM301" s="179"/>
      <c r="CN301" s="179"/>
      <c r="CO301" s="179"/>
      <c r="CP301" s="179"/>
      <c r="CQ301" s="179"/>
      <c r="CR301" s="179"/>
      <c r="CS301" s="179"/>
      <c r="CT301" s="179"/>
      <c r="CU301" s="179"/>
      <c r="CV301" s="179"/>
      <c r="CW301" s="179"/>
      <c r="CX301" s="179"/>
      <c r="CY301" s="179"/>
      <c r="CZ301" s="179"/>
      <c r="DA301" s="179"/>
      <c r="DB301" s="179"/>
      <c r="DC301" s="179"/>
      <c r="DD301" s="179"/>
      <c r="DE301" s="179"/>
      <c r="DF301" s="179"/>
      <c r="DG301" s="179"/>
      <c r="DH301" s="179"/>
      <c r="DI301" s="179"/>
      <c r="DJ301" s="179"/>
      <c r="DK301" s="179"/>
      <c r="DL301" s="179"/>
      <c r="DM301" s="179"/>
      <c r="DN301" s="179"/>
      <c r="DO301" s="179"/>
      <c r="DP301" s="179"/>
      <c r="DQ301" s="179"/>
      <c r="DR301" s="179"/>
      <c r="DS301" s="179"/>
      <c r="DT301" s="179"/>
      <c r="DU301" s="179"/>
      <c r="DV301" s="179"/>
      <c r="DW301" s="179"/>
      <c r="DX301" s="179"/>
    </row>
    <row r="302" spans="12:128" ht="13.5">
      <c r="L302" s="167"/>
      <c r="N302" s="168"/>
      <c r="O302" s="171"/>
      <c r="Q302" s="171"/>
      <c r="R302" s="171"/>
      <c r="S302" s="173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BZ302" s="179"/>
      <c r="CA302" s="179"/>
      <c r="CB302" s="179"/>
      <c r="CC302" s="179"/>
      <c r="CD302" s="179"/>
      <c r="CE302" s="179"/>
      <c r="CF302" s="179"/>
      <c r="CG302" s="179"/>
      <c r="CH302" s="179"/>
      <c r="CI302" s="179"/>
      <c r="CJ302" s="179"/>
      <c r="CK302" s="179"/>
      <c r="CL302" s="179"/>
      <c r="CM302" s="179"/>
      <c r="CN302" s="179"/>
      <c r="CO302" s="179"/>
      <c r="CP302" s="179"/>
      <c r="CQ302" s="179"/>
      <c r="CR302" s="179"/>
      <c r="CS302" s="179"/>
      <c r="CT302" s="179"/>
      <c r="CU302" s="179"/>
      <c r="CV302" s="179"/>
      <c r="CW302" s="179"/>
      <c r="CX302" s="179"/>
      <c r="CY302" s="179"/>
      <c r="CZ302" s="179"/>
      <c r="DA302" s="179"/>
      <c r="DB302" s="179"/>
      <c r="DC302" s="179"/>
      <c r="DD302" s="179"/>
      <c r="DE302" s="179"/>
      <c r="DF302" s="179"/>
      <c r="DG302" s="179"/>
      <c r="DH302" s="179"/>
      <c r="DI302" s="179"/>
      <c r="DJ302" s="179"/>
      <c r="DK302" s="179"/>
      <c r="DL302" s="179"/>
      <c r="DM302" s="179"/>
      <c r="DN302" s="179"/>
      <c r="DO302" s="179"/>
      <c r="DP302" s="179"/>
      <c r="DQ302" s="179"/>
      <c r="DR302" s="179"/>
      <c r="DS302" s="179"/>
      <c r="DT302" s="179"/>
      <c r="DU302" s="179"/>
      <c r="DV302" s="179"/>
      <c r="DW302" s="179"/>
      <c r="DX302" s="179"/>
    </row>
    <row r="303" spans="12:128" ht="13.5">
      <c r="L303" s="167"/>
      <c r="N303" s="168"/>
      <c r="O303" s="171"/>
      <c r="Q303" s="171"/>
      <c r="R303" s="171"/>
      <c r="S303" s="173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79"/>
      <c r="CH303" s="179"/>
      <c r="CI303" s="179"/>
      <c r="CJ303" s="179"/>
      <c r="CK303" s="179"/>
      <c r="CL303" s="179"/>
      <c r="CM303" s="179"/>
      <c r="CN303" s="179"/>
      <c r="CO303" s="179"/>
      <c r="CP303" s="179"/>
      <c r="CQ303" s="179"/>
      <c r="CR303" s="179"/>
      <c r="CS303" s="179"/>
      <c r="CT303" s="179"/>
      <c r="CU303" s="179"/>
      <c r="CV303" s="179"/>
      <c r="CW303" s="179"/>
      <c r="CX303" s="179"/>
      <c r="CY303" s="179"/>
      <c r="CZ303" s="179"/>
      <c r="DA303" s="179"/>
      <c r="DB303" s="179"/>
      <c r="DC303" s="179"/>
      <c r="DD303" s="179"/>
      <c r="DE303" s="179"/>
      <c r="DF303" s="179"/>
      <c r="DG303" s="179"/>
      <c r="DH303" s="179"/>
      <c r="DI303" s="179"/>
      <c r="DJ303" s="179"/>
      <c r="DK303" s="179"/>
      <c r="DL303" s="179"/>
      <c r="DM303" s="179"/>
      <c r="DN303" s="179"/>
      <c r="DO303" s="179"/>
      <c r="DP303" s="179"/>
      <c r="DQ303" s="179"/>
      <c r="DR303" s="179"/>
      <c r="DS303" s="179"/>
      <c r="DT303" s="179"/>
      <c r="DU303" s="179"/>
      <c r="DV303" s="179"/>
      <c r="DW303" s="179"/>
      <c r="DX303" s="179"/>
    </row>
    <row r="304" spans="12:128" ht="13.5">
      <c r="L304" s="167"/>
      <c r="N304" s="168"/>
      <c r="O304" s="171"/>
      <c r="Q304" s="171"/>
      <c r="R304" s="171"/>
      <c r="S304" s="173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  <c r="CH304" s="179"/>
      <c r="CI304" s="179"/>
      <c r="CJ304" s="179"/>
      <c r="CK304" s="179"/>
      <c r="CL304" s="179"/>
      <c r="CM304" s="179"/>
      <c r="CN304" s="179"/>
      <c r="CO304" s="179"/>
      <c r="CP304" s="179"/>
      <c r="CQ304" s="179"/>
      <c r="CR304" s="179"/>
      <c r="CS304" s="179"/>
      <c r="CT304" s="179"/>
      <c r="CU304" s="179"/>
      <c r="CV304" s="179"/>
      <c r="CW304" s="179"/>
      <c r="CX304" s="179"/>
      <c r="CY304" s="179"/>
      <c r="CZ304" s="179"/>
      <c r="DA304" s="179"/>
      <c r="DB304" s="179"/>
      <c r="DC304" s="179"/>
      <c r="DD304" s="179"/>
      <c r="DE304" s="179"/>
      <c r="DF304" s="179"/>
      <c r="DG304" s="179"/>
      <c r="DH304" s="179"/>
      <c r="DI304" s="179"/>
      <c r="DJ304" s="179"/>
      <c r="DK304" s="179"/>
      <c r="DL304" s="179"/>
      <c r="DM304" s="179"/>
      <c r="DN304" s="179"/>
      <c r="DO304" s="179"/>
      <c r="DP304" s="179"/>
      <c r="DQ304" s="179"/>
      <c r="DR304" s="179"/>
      <c r="DS304" s="179"/>
      <c r="DT304" s="179"/>
      <c r="DU304" s="179"/>
      <c r="DV304" s="179"/>
      <c r="DW304" s="179"/>
      <c r="DX304" s="179"/>
    </row>
    <row r="305" spans="12:128" ht="13.5">
      <c r="L305" s="167"/>
      <c r="N305" s="168"/>
      <c r="O305" s="171"/>
      <c r="Q305" s="171"/>
      <c r="R305" s="171"/>
      <c r="S305" s="173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179"/>
      <c r="CB305" s="179"/>
      <c r="CC305" s="179"/>
      <c r="CD305" s="179"/>
      <c r="CE305" s="179"/>
      <c r="CF305" s="179"/>
      <c r="CG305" s="179"/>
      <c r="CH305" s="179"/>
      <c r="CI305" s="179"/>
      <c r="CJ305" s="179"/>
      <c r="CK305" s="179"/>
      <c r="CL305" s="179"/>
      <c r="CM305" s="179"/>
      <c r="CN305" s="179"/>
      <c r="CO305" s="179"/>
      <c r="CP305" s="179"/>
      <c r="CQ305" s="179"/>
      <c r="CR305" s="179"/>
      <c r="CS305" s="179"/>
      <c r="CT305" s="179"/>
      <c r="CU305" s="179"/>
      <c r="CV305" s="179"/>
      <c r="CW305" s="179"/>
      <c r="CX305" s="179"/>
      <c r="CY305" s="179"/>
      <c r="CZ305" s="179"/>
      <c r="DA305" s="179"/>
      <c r="DB305" s="179"/>
      <c r="DC305" s="179"/>
      <c r="DD305" s="179"/>
      <c r="DE305" s="179"/>
      <c r="DF305" s="179"/>
      <c r="DG305" s="179"/>
      <c r="DH305" s="179"/>
      <c r="DI305" s="179"/>
      <c r="DJ305" s="179"/>
      <c r="DK305" s="179"/>
      <c r="DL305" s="179"/>
      <c r="DM305" s="179"/>
      <c r="DN305" s="179"/>
      <c r="DO305" s="179"/>
      <c r="DP305" s="179"/>
      <c r="DQ305" s="179"/>
      <c r="DR305" s="179"/>
      <c r="DS305" s="179"/>
      <c r="DT305" s="179"/>
      <c r="DU305" s="179"/>
      <c r="DV305" s="179"/>
      <c r="DW305" s="179"/>
      <c r="DX305" s="179"/>
    </row>
    <row r="306" spans="12:128" ht="13.5">
      <c r="L306" s="167"/>
      <c r="N306" s="168"/>
      <c r="O306" s="171"/>
      <c r="Q306" s="171"/>
      <c r="R306" s="171"/>
      <c r="S306" s="173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  <c r="BE306" s="179"/>
      <c r="BF306" s="179"/>
      <c r="BG306" s="179"/>
      <c r="BH306" s="17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79"/>
      <c r="BU306" s="179"/>
      <c r="BV306" s="179"/>
      <c r="BW306" s="179"/>
      <c r="BX306" s="179"/>
      <c r="BY306" s="179"/>
      <c r="BZ306" s="179"/>
      <c r="CA306" s="179"/>
      <c r="CB306" s="179"/>
      <c r="CC306" s="179"/>
      <c r="CD306" s="179"/>
      <c r="CE306" s="179"/>
      <c r="CF306" s="179"/>
      <c r="CG306" s="179"/>
      <c r="CH306" s="179"/>
      <c r="CI306" s="179"/>
      <c r="CJ306" s="179"/>
      <c r="CK306" s="179"/>
      <c r="CL306" s="179"/>
      <c r="CM306" s="179"/>
      <c r="CN306" s="179"/>
      <c r="CO306" s="179"/>
      <c r="CP306" s="179"/>
      <c r="CQ306" s="179"/>
      <c r="CR306" s="179"/>
      <c r="CS306" s="179"/>
      <c r="CT306" s="179"/>
      <c r="CU306" s="179"/>
      <c r="CV306" s="179"/>
      <c r="CW306" s="179"/>
      <c r="CX306" s="179"/>
      <c r="CY306" s="179"/>
      <c r="CZ306" s="179"/>
      <c r="DA306" s="179"/>
      <c r="DB306" s="179"/>
      <c r="DC306" s="179"/>
      <c r="DD306" s="179"/>
      <c r="DE306" s="179"/>
      <c r="DF306" s="179"/>
      <c r="DG306" s="179"/>
      <c r="DH306" s="179"/>
      <c r="DI306" s="179"/>
      <c r="DJ306" s="179"/>
      <c r="DK306" s="179"/>
      <c r="DL306" s="179"/>
      <c r="DM306" s="179"/>
      <c r="DN306" s="179"/>
      <c r="DO306" s="179"/>
      <c r="DP306" s="179"/>
      <c r="DQ306" s="179"/>
      <c r="DR306" s="179"/>
      <c r="DS306" s="179"/>
      <c r="DT306" s="179"/>
      <c r="DU306" s="179"/>
      <c r="DV306" s="179"/>
      <c r="DW306" s="179"/>
      <c r="DX306" s="179"/>
    </row>
    <row r="307" spans="12:128" ht="13.5">
      <c r="L307" s="167"/>
      <c r="N307" s="168"/>
      <c r="O307" s="171"/>
      <c r="Q307" s="171"/>
      <c r="R307" s="171"/>
      <c r="S307" s="173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BM307" s="179"/>
      <c r="BN307" s="179"/>
      <c r="BO307" s="179"/>
      <c r="BP307" s="179"/>
      <c r="BQ307" s="179"/>
      <c r="BR307" s="179"/>
      <c r="BS307" s="179"/>
      <c r="BT307" s="179"/>
      <c r="BU307" s="179"/>
      <c r="BV307" s="179"/>
      <c r="BW307" s="179"/>
      <c r="BX307" s="179"/>
      <c r="BY307" s="179"/>
      <c r="BZ307" s="179"/>
      <c r="CA307" s="179"/>
      <c r="CB307" s="179"/>
      <c r="CC307" s="179"/>
      <c r="CD307" s="179"/>
      <c r="CE307" s="179"/>
      <c r="CF307" s="179"/>
      <c r="CG307" s="179"/>
      <c r="CH307" s="179"/>
      <c r="CI307" s="179"/>
      <c r="CJ307" s="179"/>
      <c r="CK307" s="179"/>
      <c r="CL307" s="179"/>
      <c r="CM307" s="179"/>
      <c r="CN307" s="179"/>
      <c r="CO307" s="179"/>
      <c r="CP307" s="179"/>
      <c r="CQ307" s="179"/>
      <c r="CR307" s="179"/>
      <c r="CS307" s="179"/>
      <c r="CT307" s="179"/>
      <c r="CU307" s="179"/>
      <c r="CV307" s="179"/>
      <c r="CW307" s="179"/>
      <c r="CX307" s="179"/>
      <c r="CY307" s="179"/>
      <c r="CZ307" s="179"/>
      <c r="DA307" s="179"/>
      <c r="DB307" s="179"/>
      <c r="DC307" s="179"/>
      <c r="DD307" s="179"/>
      <c r="DE307" s="179"/>
      <c r="DF307" s="179"/>
      <c r="DG307" s="179"/>
      <c r="DH307" s="179"/>
      <c r="DI307" s="179"/>
      <c r="DJ307" s="179"/>
      <c r="DK307" s="179"/>
      <c r="DL307" s="179"/>
      <c r="DM307" s="179"/>
      <c r="DN307" s="179"/>
      <c r="DO307" s="179"/>
      <c r="DP307" s="179"/>
      <c r="DQ307" s="179"/>
      <c r="DR307" s="179"/>
      <c r="DS307" s="179"/>
      <c r="DT307" s="179"/>
      <c r="DU307" s="179"/>
      <c r="DV307" s="179"/>
      <c r="DW307" s="179"/>
      <c r="DX307" s="179"/>
    </row>
    <row r="308" spans="12:128" ht="13.5">
      <c r="L308" s="167"/>
      <c r="N308" s="168"/>
      <c r="O308" s="171"/>
      <c r="Q308" s="171"/>
      <c r="R308" s="171"/>
      <c r="S308" s="173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179"/>
      <c r="CB308" s="179"/>
      <c r="CC308" s="179"/>
      <c r="CD308" s="179"/>
      <c r="CE308" s="179"/>
      <c r="CF308" s="179"/>
      <c r="CG308" s="179"/>
      <c r="CH308" s="179"/>
      <c r="CI308" s="179"/>
      <c r="CJ308" s="179"/>
      <c r="CK308" s="179"/>
      <c r="CL308" s="179"/>
      <c r="CM308" s="179"/>
      <c r="CN308" s="179"/>
      <c r="CO308" s="179"/>
      <c r="CP308" s="179"/>
      <c r="CQ308" s="179"/>
      <c r="CR308" s="179"/>
      <c r="CS308" s="179"/>
      <c r="CT308" s="179"/>
      <c r="CU308" s="179"/>
      <c r="CV308" s="179"/>
      <c r="CW308" s="179"/>
      <c r="CX308" s="179"/>
      <c r="CY308" s="179"/>
      <c r="CZ308" s="179"/>
      <c r="DA308" s="179"/>
      <c r="DB308" s="179"/>
      <c r="DC308" s="179"/>
      <c r="DD308" s="179"/>
      <c r="DE308" s="179"/>
      <c r="DF308" s="179"/>
      <c r="DG308" s="179"/>
      <c r="DH308" s="179"/>
      <c r="DI308" s="179"/>
      <c r="DJ308" s="179"/>
      <c r="DK308" s="179"/>
      <c r="DL308" s="179"/>
      <c r="DM308" s="179"/>
      <c r="DN308" s="179"/>
      <c r="DO308" s="179"/>
      <c r="DP308" s="179"/>
      <c r="DQ308" s="179"/>
      <c r="DR308" s="179"/>
      <c r="DS308" s="179"/>
      <c r="DT308" s="179"/>
      <c r="DU308" s="179"/>
      <c r="DV308" s="179"/>
      <c r="DW308" s="179"/>
      <c r="DX308" s="179"/>
    </row>
    <row r="309" spans="12:128" ht="13.5">
      <c r="L309" s="167"/>
      <c r="N309" s="168"/>
      <c r="O309" s="171"/>
      <c r="Q309" s="171"/>
      <c r="R309" s="171"/>
      <c r="S309" s="173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0"/>
      <c r="BZ309" s="170"/>
      <c r="CA309" s="170"/>
      <c r="CB309" s="170"/>
      <c r="CC309" s="170"/>
      <c r="CD309" s="170"/>
      <c r="CE309" s="170"/>
      <c r="CF309" s="170"/>
      <c r="CG309" s="170"/>
      <c r="CH309" s="170"/>
      <c r="CI309" s="170"/>
      <c r="CJ309" s="170"/>
      <c r="CK309" s="170"/>
      <c r="CL309" s="170"/>
      <c r="CM309" s="170"/>
      <c r="CN309" s="170"/>
      <c r="CO309" s="170"/>
      <c r="CP309" s="170"/>
      <c r="CQ309" s="170"/>
      <c r="CR309" s="170"/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170"/>
      <c r="DM309" s="170"/>
      <c r="DN309" s="170"/>
      <c r="DO309" s="170"/>
      <c r="DP309" s="170"/>
      <c r="DQ309" s="170"/>
      <c r="DR309" s="170"/>
      <c r="DS309" s="170"/>
      <c r="DT309" s="170"/>
      <c r="DU309" s="170"/>
      <c r="DV309" s="170"/>
      <c r="DW309" s="170"/>
      <c r="DX309" s="170"/>
    </row>
    <row r="310" spans="12:128" ht="13.5">
      <c r="L310" s="167"/>
      <c r="N310" s="168"/>
      <c r="O310" s="171"/>
      <c r="Q310" s="171"/>
      <c r="R310" s="171"/>
      <c r="S310" s="173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  <c r="BD310" s="179"/>
      <c r="BE310" s="179"/>
      <c r="BF310" s="179"/>
      <c r="BG310" s="179"/>
      <c r="BH310" s="179"/>
      <c r="BI310" s="179"/>
      <c r="BJ310" s="179"/>
      <c r="BK310" s="179"/>
      <c r="BL310" s="179"/>
      <c r="BM310" s="179"/>
      <c r="BN310" s="179"/>
      <c r="BO310" s="179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70"/>
      <c r="CO310" s="170"/>
      <c r="CP310" s="170"/>
      <c r="CQ310" s="170"/>
      <c r="CR310" s="170"/>
      <c r="CS310" s="170"/>
      <c r="CT310" s="170"/>
      <c r="CU310" s="170"/>
      <c r="CV310" s="170"/>
      <c r="CW310" s="170"/>
      <c r="CX310" s="170"/>
      <c r="CY310" s="170"/>
      <c r="CZ310" s="170"/>
      <c r="DA310" s="170"/>
      <c r="DB310" s="170"/>
      <c r="DC310" s="170"/>
      <c r="DD310" s="170"/>
      <c r="DE310" s="170"/>
      <c r="DF310" s="170"/>
      <c r="DG310" s="170"/>
      <c r="DH310" s="170"/>
      <c r="DI310" s="170"/>
      <c r="DJ310" s="170"/>
      <c r="DK310" s="170"/>
      <c r="DL310" s="170"/>
      <c r="DM310" s="170"/>
      <c r="DN310" s="170"/>
      <c r="DO310" s="170"/>
      <c r="DP310" s="170"/>
      <c r="DQ310" s="170"/>
      <c r="DR310" s="170"/>
      <c r="DS310" s="170"/>
      <c r="DT310" s="170"/>
      <c r="DU310" s="170"/>
      <c r="DV310" s="170"/>
      <c r="DW310" s="170"/>
      <c r="DX310" s="170"/>
    </row>
    <row r="311" spans="12:128" ht="13.5">
      <c r="L311" s="167"/>
      <c r="N311" s="168"/>
      <c r="O311" s="171"/>
      <c r="Q311" s="171"/>
      <c r="R311" s="171"/>
      <c r="S311" s="173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179"/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79"/>
      <c r="AW311" s="179"/>
      <c r="AX311" s="179"/>
      <c r="AY311" s="179"/>
      <c r="AZ311" s="179"/>
      <c r="BA311" s="179"/>
      <c r="BB311" s="179"/>
      <c r="BC311" s="179"/>
      <c r="BD311" s="179"/>
      <c r="BE311" s="179"/>
      <c r="BF311" s="179"/>
      <c r="BG311" s="179"/>
      <c r="BH311" s="179"/>
      <c r="BI311" s="179"/>
      <c r="BJ311" s="179"/>
      <c r="BK311" s="179"/>
      <c r="BL311" s="179"/>
      <c r="BM311" s="179"/>
      <c r="BN311" s="179"/>
      <c r="BO311" s="179"/>
      <c r="BP311" s="179"/>
      <c r="BQ311" s="179"/>
      <c r="BR311" s="179"/>
      <c r="BS311" s="179"/>
      <c r="BT311" s="179"/>
      <c r="BU311" s="179"/>
      <c r="BV311" s="179"/>
      <c r="BW311" s="179"/>
      <c r="BX311" s="179"/>
      <c r="BY311" s="170"/>
      <c r="BZ311" s="170"/>
      <c r="CA311" s="170"/>
      <c r="CB311" s="170"/>
      <c r="CC311" s="170"/>
      <c r="CD311" s="170"/>
      <c r="CE311" s="170"/>
      <c r="CF311" s="170"/>
      <c r="CG311" s="170"/>
      <c r="CH311" s="170"/>
      <c r="CI311" s="170"/>
      <c r="CJ311" s="170"/>
      <c r="CK311" s="170"/>
      <c r="CL311" s="170"/>
      <c r="CM311" s="170"/>
      <c r="CN311" s="170"/>
      <c r="CO311" s="170"/>
      <c r="CP311" s="170"/>
      <c r="CQ311" s="170"/>
      <c r="CR311" s="170"/>
      <c r="CS311" s="170"/>
      <c r="CT311" s="170"/>
      <c r="CU311" s="170"/>
      <c r="CV311" s="170"/>
      <c r="CW311" s="170"/>
      <c r="CX311" s="170"/>
      <c r="CY311" s="170"/>
      <c r="CZ311" s="170"/>
      <c r="DA311" s="170"/>
      <c r="DB311" s="170"/>
      <c r="DC311" s="170"/>
      <c r="DD311" s="170"/>
      <c r="DE311" s="170"/>
      <c r="DF311" s="170"/>
      <c r="DG311" s="170"/>
      <c r="DH311" s="170"/>
      <c r="DI311" s="170"/>
      <c r="DJ311" s="170"/>
      <c r="DK311" s="170"/>
      <c r="DL311" s="170"/>
      <c r="DM311" s="170"/>
      <c r="DN311" s="170"/>
      <c r="DO311" s="170"/>
      <c r="DP311" s="170"/>
      <c r="DQ311" s="170"/>
      <c r="DR311" s="170"/>
      <c r="DS311" s="170"/>
      <c r="DT311" s="170"/>
      <c r="DU311" s="170"/>
      <c r="DV311" s="170"/>
      <c r="DW311" s="170"/>
      <c r="DX311" s="170"/>
    </row>
    <row r="312" spans="12:128" ht="13.5">
      <c r="L312" s="167"/>
      <c r="N312" s="168"/>
      <c r="O312" s="171"/>
      <c r="Q312" s="171"/>
      <c r="R312" s="171"/>
      <c r="S312" s="173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BC312" s="177"/>
      <c r="BH312" s="172"/>
      <c r="BY312" s="170"/>
      <c r="BZ312" s="170"/>
      <c r="CA312" s="170"/>
      <c r="CB312" s="170"/>
      <c r="CC312" s="170"/>
      <c r="CD312" s="170"/>
      <c r="CE312" s="170"/>
      <c r="CF312" s="170"/>
      <c r="CG312" s="170"/>
      <c r="CH312" s="170"/>
      <c r="CI312" s="170"/>
      <c r="CJ312" s="170"/>
      <c r="CK312" s="170"/>
      <c r="CL312" s="170"/>
      <c r="CM312" s="170"/>
      <c r="CN312" s="170"/>
      <c r="CO312" s="170"/>
      <c r="CP312" s="170"/>
      <c r="CQ312" s="170"/>
      <c r="CR312" s="170"/>
      <c r="CS312" s="170"/>
      <c r="CT312" s="170"/>
      <c r="CU312" s="170"/>
      <c r="CV312" s="170"/>
      <c r="CW312" s="170"/>
      <c r="CX312" s="170"/>
      <c r="CY312" s="170"/>
      <c r="CZ312" s="170"/>
      <c r="DA312" s="170"/>
      <c r="DB312" s="170"/>
      <c r="DC312" s="170"/>
      <c r="DD312" s="170"/>
      <c r="DE312" s="170"/>
      <c r="DF312" s="170"/>
      <c r="DG312" s="170"/>
      <c r="DH312" s="170"/>
      <c r="DI312" s="170"/>
      <c r="DJ312" s="170"/>
      <c r="DK312" s="170"/>
      <c r="DL312" s="170"/>
      <c r="DM312" s="170"/>
      <c r="DN312" s="170"/>
      <c r="DO312" s="170"/>
      <c r="DP312" s="170"/>
      <c r="DQ312" s="170"/>
      <c r="DR312" s="170"/>
      <c r="DS312" s="170"/>
      <c r="DT312" s="170"/>
      <c r="DU312" s="170"/>
      <c r="DV312" s="170"/>
      <c r="DW312" s="170"/>
      <c r="DX312" s="170"/>
    </row>
    <row r="313" spans="12:120" ht="13.5">
      <c r="L313" s="167"/>
      <c r="N313" s="168"/>
      <c r="O313" s="171"/>
      <c r="Q313" s="171"/>
      <c r="R313" s="171"/>
      <c r="S313" s="173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BC313" s="177"/>
      <c r="BH313" s="172"/>
      <c r="BY313" s="168"/>
      <c r="DD313" s="170"/>
      <c r="DE313" s="170"/>
      <c r="DF313" s="170"/>
      <c r="DG313" s="170"/>
      <c r="DH313" s="170"/>
      <c r="DI313" s="170"/>
      <c r="DJ313" s="170"/>
      <c r="DK313" s="170"/>
      <c r="DL313" s="170"/>
      <c r="DM313" s="170"/>
      <c r="DN313" s="170"/>
      <c r="DO313" s="170"/>
      <c r="DP313" s="170"/>
    </row>
    <row r="314" spans="12:120" ht="13.5">
      <c r="L314" s="167"/>
      <c r="N314" s="168"/>
      <c r="O314" s="171"/>
      <c r="Q314" s="171"/>
      <c r="R314" s="171"/>
      <c r="S314" s="173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BC314" s="177"/>
      <c r="BH314" s="172"/>
      <c r="BY314" s="168"/>
      <c r="DD314" s="170"/>
      <c r="DE314" s="170"/>
      <c r="DF314" s="170"/>
      <c r="DG314" s="170"/>
      <c r="DH314" s="170"/>
      <c r="DI314" s="170"/>
      <c r="DJ314" s="170"/>
      <c r="DK314" s="170"/>
      <c r="DL314" s="170"/>
      <c r="DM314" s="170"/>
      <c r="DN314" s="170"/>
      <c r="DO314" s="170"/>
      <c r="DP314" s="170"/>
    </row>
    <row r="315" spans="12:120" ht="13.5">
      <c r="L315" s="167"/>
      <c r="N315" s="168"/>
      <c r="O315" s="171"/>
      <c r="Q315" s="171"/>
      <c r="R315" s="171"/>
      <c r="S315" s="173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BC315" s="177"/>
      <c r="BH315" s="172"/>
      <c r="BY315" s="168"/>
      <c r="DD315" s="170"/>
      <c r="DE315" s="170"/>
      <c r="DF315" s="170"/>
      <c r="DG315" s="170"/>
      <c r="DH315" s="170"/>
      <c r="DI315" s="170"/>
      <c r="DJ315" s="170"/>
      <c r="DK315" s="170"/>
      <c r="DL315" s="170"/>
      <c r="DM315" s="170"/>
      <c r="DN315" s="170"/>
      <c r="DO315" s="170"/>
      <c r="DP315" s="170"/>
    </row>
    <row r="316" spans="12:120" ht="13.5">
      <c r="L316" s="167"/>
      <c r="N316" s="168"/>
      <c r="O316" s="171"/>
      <c r="Q316" s="171"/>
      <c r="R316" s="171"/>
      <c r="S316" s="173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BC316" s="177"/>
      <c r="BH316" s="172"/>
      <c r="BY316" s="168"/>
      <c r="DD316" s="170"/>
      <c r="DE316" s="170"/>
      <c r="DF316" s="170"/>
      <c r="DG316" s="170"/>
      <c r="DH316" s="170"/>
      <c r="DI316" s="170"/>
      <c r="DJ316" s="170"/>
      <c r="DK316" s="170"/>
      <c r="DL316" s="170"/>
      <c r="DM316" s="170"/>
      <c r="DN316" s="170"/>
      <c r="DO316" s="170"/>
      <c r="DP316" s="170"/>
    </row>
    <row r="317" spans="12:120" ht="13.5">
      <c r="L317" s="167"/>
      <c r="N317" s="168"/>
      <c r="O317" s="171"/>
      <c r="Q317" s="171"/>
      <c r="R317" s="171"/>
      <c r="S317" s="173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BC317" s="177"/>
      <c r="BH317" s="172"/>
      <c r="BY317" s="168"/>
      <c r="DD317" s="170"/>
      <c r="DE317" s="170"/>
      <c r="DF317" s="170"/>
      <c r="DG317" s="170"/>
      <c r="DH317" s="170"/>
      <c r="DI317" s="170"/>
      <c r="DJ317" s="170"/>
      <c r="DK317" s="170"/>
      <c r="DL317" s="170"/>
      <c r="DM317" s="170"/>
      <c r="DN317" s="170"/>
      <c r="DO317" s="170"/>
      <c r="DP317" s="170"/>
    </row>
    <row r="318" spans="12:77" ht="13.5">
      <c r="L318" s="167"/>
      <c r="N318" s="168"/>
      <c r="O318" s="171"/>
      <c r="Q318" s="171"/>
      <c r="R318" s="171"/>
      <c r="S318" s="173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BC318" s="177"/>
      <c r="BH318" s="172"/>
      <c r="BY318" s="168"/>
    </row>
    <row r="319" spans="12:77" ht="13.5">
      <c r="L319" s="167"/>
      <c r="N319" s="168"/>
      <c r="O319" s="171"/>
      <c r="Q319" s="171"/>
      <c r="R319" s="171"/>
      <c r="S319" s="173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BC319" s="177"/>
      <c r="BH319" s="172"/>
      <c r="BY319" s="168"/>
    </row>
    <row r="320" spans="12:77" ht="13.5">
      <c r="L320" s="167"/>
      <c r="N320" s="168"/>
      <c r="O320" s="171"/>
      <c r="Q320" s="171"/>
      <c r="R320" s="171"/>
      <c r="S320" s="173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BC320" s="177"/>
      <c r="BH320" s="172"/>
      <c r="BY320" s="168"/>
    </row>
    <row r="321" spans="12:77" ht="13.5">
      <c r="L321" s="167"/>
      <c r="N321" s="168"/>
      <c r="O321" s="171"/>
      <c r="Q321" s="171"/>
      <c r="R321" s="171"/>
      <c r="S321" s="173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68"/>
      <c r="BD321" s="168"/>
      <c r="BE321" s="168"/>
      <c r="BF321" s="168"/>
      <c r="BG321" s="168"/>
      <c r="BH321" s="168"/>
      <c r="BI321" s="168"/>
      <c r="BJ321" s="168"/>
      <c r="BK321" s="168"/>
      <c r="BL321" s="168"/>
      <c r="BM321" s="168"/>
      <c r="BN321" s="168"/>
      <c r="BO321" s="168"/>
      <c r="BP321" s="168"/>
      <c r="BQ321" s="168"/>
      <c r="BR321" s="168"/>
      <c r="BS321" s="168"/>
      <c r="BT321" s="168"/>
      <c r="BU321" s="168"/>
      <c r="BV321" s="168"/>
      <c r="BW321" s="168"/>
      <c r="BX321" s="168"/>
      <c r="BY321" s="168"/>
    </row>
    <row r="322" spans="12:77" ht="13.5">
      <c r="L322" s="167"/>
      <c r="N322" s="168"/>
      <c r="O322" s="171"/>
      <c r="Q322" s="171"/>
      <c r="R322" s="171"/>
      <c r="S322" s="173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  <c r="BD322" s="168"/>
      <c r="BE322" s="168"/>
      <c r="BF322" s="168"/>
      <c r="BG322" s="168"/>
      <c r="BH322" s="168"/>
      <c r="BI322" s="168"/>
      <c r="BJ322" s="168"/>
      <c r="BK322" s="168"/>
      <c r="BL322" s="168"/>
      <c r="BM322" s="168"/>
      <c r="BN322" s="168"/>
      <c r="BO322" s="168"/>
      <c r="BP322" s="168"/>
      <c r="BQ322" s="168"/>
      <c r="BR322" s="168"/>
      <c r="BS322" s="168"/>
      <c r="BT322" s="168"/>
      <c r="BU322" s="168"/>
      <c r="BV322" s="168"/>
      <c r="BW322" s="168"/>
      <c r="BX322" s="168"/>
      <c r="BY322" s="168"/>
    </row>
    <row r="323" spans="12:77" ht="13.5">
      <c r="L323" s="167"/>
      <c r="N323" s="168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68"/>
      <c r="BD323" s="168"/>
      <c r="BE323" s="168"/>
      <c r="BF323" s="168"/>
      <c r="BG323" s="168"/>
      <c r="BH323" s="168"/>
      <c r="BI323" s="168"/>
      <c r="BJ323" s="168"/>
      <c r="BK323" s="168"/>
      <c r="BL323" s="168"/>
      <c r="BM323" s="168"/>
      <c r="BN323" s="168"/>
      <c r="BO323" s="168"/>
      <c r="BP323" s="168"/>
      <c r="BQ323" s="168"/>
      <c r="BR323" s="168"/>
      <c r="BS323" s="168"/>
      <c r="BT323" s="168"/>
      <c r="BU323" s="168"/>
      <c r="BV323" s="168"/>
      <c r="BW323" s="168"/>
      <c r="BX323" s="168"/>
      <c r="BY323" s="168"/>
    </row>
    <row r="324" spans="12:77" ht="13.5">
      <c r="L324" s="167"/>
      <c r="N324" s="168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  <c r="BL324" s="168"/>
      <c r="BM324" s="168"/>
      <c r="BN324" s="168"/>
      <c r="BO324" s="168"/>
      <c r="BP324" s="168"/>
      <c r="BQ324" s="168"/>
      <c r="BR324" s="168"/>
      <c r="BS324" s="168"/>
      <c r="BT324" s="168"/>
      <c r="BU324" s="168"/>
      <c r="BV324" s="168"/>
      <c r="BW324" s="168"/>
      <c r="BX324" s="168"/>
      <c r="BY324" s="168"/>
    </row>
    <row r="325" spans="12:77" ht="13.5">
      <c r="L325" s="167"/>
      <c r="N325" s="168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8"/>
      <c r="BM325" s="168"/>
      <c r="BN325" s="168"/>
      <c r="BO325" s="168"/>
      <c r="BP325" s="168"/>
      <c r="BQ325" s="168"/>
      <c r="BR325" s="168"/>
      <c r="BS325" s="168"/>
      <c r="BT325" s="168"/>
      <c r="BU325" s="168"/>
      <c r="BV325" s="168"/>
      <c r="BW325" s="168"/>
      <c r="BX325" s="168"/>
      <c r="BY325" s="168"/>
    </row>
    <row r="326" spans="12:77" ht="13.5">
      <c r="L326" s="167"/>
      <c r="N326" s="168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  <c r="BL326" s="168"/>
      <c r="BM326" s="168"/>
      <c r="BN326" s="168"/>
      <c r="BO326" s="168"/>
      <c r="BP326" s="168"/>
      <c r="BQ326" s="168"/>
      <c r="BR326" s="168"/>
      <c r="BS326" s="168"/>
      <c r="BT326" s="168"/>
      <c r="BU326" s="168"/>
      <c r="BV326" s="168"/>
      <c r="BW326" s="168"/>
      <c r="BX326" s="168"/>
      <c r="BY326" s="168"/>
    </row>
    <row r="327" spans="12:77" ht="13.5">
      <c r="L327" s="167"/>
      <c r="N327" s="168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  <c r="BG327" s="168"/>
      <c r="BH327" s="168"/>
      <c r="BI327" s="168"/>
      <c r="BJ327" s="168"/>
      <c r="BK327" s="168"/>
      <c r="BL327" s="168"/>
      <c r="BM327" s="168"/>
      <c r="BN327" s="168"/>
      <c r="BO327" s="168"/>
      <c r="BP327" s="168"/>
      <c r="BQ327" s="168"/>
      <c r="BR327" s="168"/>
      <c r="BS327" s="168"/>
      <c r="BT327" s="168"/>
      <c r="BU327" s="168"/>
      <c r="BV327" s="168"/>
      <c r="BW327" s="168"/>
      <c r="BX327" s="168"/>
      <c r="BY327" s="168"/>
    </row>
    <row r="328" spans="12:77" ht="13.5">
      <c r="L328" s="167"/>
      <c r="N328" s="168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  <c r="BD328" s="168"/>
      <c r="BE328" s="168"/>
      <c r="BF328" s="168"/>
      <c r="BG328" s="168"/>
      <c r="BH328" s="168"/>
      <c r="BI328" s="168"/>
      <c r="BJ328" s="168"/>
      <c r="BK328" s="168"/>
      <c r="BL328" s="168"/>
      <c r="BM328" s="168"/>
      <c r="BN328" s="168"/>
      <c r="BO328" s="168"/>
      <c r="BP328" s="168"/>
      <c r="BQ328" s="168"/>
      <c r="BR328" s="168"/>
      <c r="BS328" s="168"/>
      <c r="BT328" s="168"/>
      <c r="BU328" s="168"/>
      <c r="BV328" s="168"/>
      <c r="BW328" s="168"/>
      <c r="BX328" s="168"/>
      <c r="BY328" s="168"/>
    </row>
    <row r="329" spans="12:77" ht="13.5">
      <c r="L329" s="167"/>
      <c r="N329" s="168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  <c r="BH329" s="168"/>
      <c r="BI329" s="168"/>
      <c r="BJ329" s="168"/>
      <c r="BK329" s="168"/>
      <c r="BL329" s="168"/>
      <c r="BM329" s="168"/>
      <c r="BN329" s="168"/>
      <c r="BO329" s="168"/>
      <c r="BP329" s="168"/>
      <c r="BQ329" s="168"/>
      <c r="BR329" s="168"/>
      <c r="BS329" s="168"/>
      <c r="BT329" s="168"/>
      <c r="BU329" s="168"/>
      <c r="BV329" s="168"/>
      <c r="BW329" s="168"/>
      <c r="BX329" s="168"/>
      <c r="BY329" s="168"/>
    </row>
    <row r="330" spans="12:77" ht="13.5">
      <c r="L330" s="167"/>
      <c r="N330" s="168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68"/>
      <c r="BD330" s="168"/>
      <c r="BE330" s="168"/>
      <c r="BF330" s="168"/>
      <c r="BG330" s="168"/>
      <c r="BH330" s="168"/>
      <c r="BI330" s="168"/>
      <c r="BJ330" s="168"/>
      <c r="BK330" s="168"/>
      <c r="BL330" s="168"/>
      <c r="BM330" s="168"/>
      <c r="BN330" s="168"/>
      <c r="BO330" s="168"/>
      <c r="BP330" s="168"/>
      <c r="BQ330" s="168"/>
      <c r="BR330" s="168"/>
      <c r="BS330" s="168"/>
      <c r="BT330" s="168"/>
      <c r="BU330" s="168"/>
      <c r="BV330" s="168"/>
      <c r="BW330" s="168"/>
      <c r="BX330" s="168"/>
      <c r="BY330" s="168"/>
    </row>
    <row r="331" spans="12:77" ht="13.5">
      <c r="L331" s="167"/>
      <c r="N331" s="168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68"/>
      <c r="BD331" s="168"/>
      <c r="BE331" s="168"/>
      <c r="BF331" s="168"/>
      <c r="BG331" s="168"/>
      <c r="BH331" s="168"/>
      <c r="BI331" s="168"/>
      <c r="BJ331" s="168"/>
      <c r="BK331" s="168"/>
      <c r="BL331" s="168"/>
      <c r="BM331" s="168"/>
      <c r="BN331" s="168"/>
      <c r="BO331" s="168"/>
      <c r="BP331" s="168"/>
      <c r="BQ331" s="168"/>
      <c r="BR331" s="168"/>
      <c r="BS331" s="168"/>
      <c r="BT331" s="168"/>
      <c r="BU331" s="168"/>
      <c r="BV331" s="168"/>
      <c r="BW331" s="168"/>
      <c r="BX331" s="168"/>
      <c r="BY331" s="168"/>
    </row>
    <row r="332" spans="12:77" ht="13.5">
      <c r="L332" s="167"/>
      <c r="N332" s="168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68"/>
      <c r="BD332" s="168"/>
      <c r="BE332" s="168"/>
      <c r="BF332" s="168"/>
      <c r="BG332" s="168"/>
      <c r="BH332" s="168"/>
      <c r="BI332" s="168"/>
      <c r="BJ332" s="168"/>
      <c r="BK332" s="168"/>
      <c r="BL332" s="168"/>
      <c r="BM332" s="168"/>
      <c r="BN332" s="168"/>
      <c r="BO332" s="168"/>
      <c r="BP332" s="168"/>
      <c r="BQ332" s="168"/>
      <c r="BR332" s="168"/>
      <c r="BS332" s="168"/>
      <c r="BT332" s="168"/>
      <c r="BU332" s="168"/>
      <c r="BV332" s="168"/>
      <c r="BW332" s="168"/>
      <c r="BX332" s="168"/>
      <c r="BY332" s="168"/>
    </row>
    <row r="333" spans="12:77" ht="13.5">
      <c r="L333" s="167"/>
      <c r="N333" s="168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68"/>
      <c r="BD333" s="168"/>
      <c r="BE333" s="168"/>
      <c r="BF333" s="168"/>
      <c r="BG333" s="168"/>
      <c r="BH333" s="168"/>
      <c r="BI333" s="168"/>
      <c r="BJ333" s="168"/>
      <c r="BK333" s="168"/>
      <c r="BL333" s="168"/>
      <c r="BM333" s="168"/>
      <c r="BN333" s="168"/>
      <c r="BO333" s="168"/>
      <c r="BP333" s="168"/>
      <c r="BQ333" s="168"/>
      <c r="BR333" s="168"/>
      <c r="BS333" s="168"/>
      <c r="BT333" s="168"/>
      <c r="BU333" s="168"/>
      <c r="BV333" s="168"/>
      <c r="BW333" s="168"/>
      <c r="BX333" s="168"/>
      <c r="BY333" s="168"/>
    </row>
    <row r="334" spans="12:77" ht="13.5">
      <c r="L334" s="167"/>
      <c r="N334" s="168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68"/>
      <c r="BD334" s="168"/>
      <c r="BE334" s="168"/>
      <c r="BF334" s="168"/>
      <c r="BG334" s="168"/>
      <c r="BH334" s="168"/>
      <c r="BI334" s="168"/>
      <c r="BJ334" s="168"/>
      <c r="BK334" s="168"/>
      <c r="BL334" s="168"/>
      <c r="BM334" s="168"/>
      <c r="BN334" s="168"/>
      <c r="BO334" s="168"/>
      <c r="BP334" s="168"/>
      <c r="BQ334" s="168"/>
      <c r="BR334" s="168"/>
      <c r="BS334" s="168"/>
      <c r="BT334" s="168"/>
      <c r="BU334" s="168"/>
      <c r="BV334" s="168"/>
      <c r="BW334" s="168"/>
      <c r="BX334" s="168"/>
      <c r="BY334" s="168"/>
    </row>
    <row r="335" spans="12:77" ht="13.5">
      <c r="L335" s="167"/>
      <c r="N335" s="168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68"/>
      <c r="BD335" s="168"/>
      <c r="BE335" s="168"/>
      <c r="BF335" s="168"/>
      <c r="BG335" s="168"/>
      <c r="BH335" s="168"/>
      <c r="BI335" s="168"/>
      <c r="BJ335" s="168"/>
      <c r="BK335" s="168"/>
      <c r="BL335" s="168"/>
      <c r="BM335" s="168"/>
      <c r="BN335" s="168"/>
      <c r="BO335" s="168"/>
      <c r="BP335" s="168"/>
      <c r="BQ335" s="168"/>
      <c r="BR335" s="168"/>
      <c r="BS335" s="168"/>
      <c r="BT335" s="168"/>
      <c r="BU335" s="168"/>
      <c r="BV335" s="168"/>
      <c r="BW335" s="168"/>
      <c r="BX335" s="168"/>
      <c r="BY335" s="168"/>
    </row>
    <row r="336" spans="12:77" ht="13.5">
      <c r="L336" s="167"/>
      <c r="N336" s="168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68"/>
      <c r="BH336" s="168"/>
      <c r="BI336" s="168"/>
      <c r="BJ336" s="168"/>
      <c r="BK336" s="168"/>
      <c r="BL336" s="168"/>
      <c r="BM336" s="168"/>
      <c r="BN336" s="168"/>
      <c r="BO336" s="168"/>
      <c r="BP336" s="168"/>
      <c r="BQ336" s="168"/>
      <c r="BR336" s="168"/>
      <c r="BS336" s="168"/>
      <c r="BT336" s="168"/>
      <c r="BU336" s="168"/>
      <c r="BV336" s="168"/>
      <c r="BW336" s="168"/>
      <c r="BX336" s="168"/>
      <c r="BY336" s="168"/>
    </row>
    <row r="337" spans="12:77" ht="13.5">
      <c r="L337" s="167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68"/>
      <c r="BD337" s="168"/>
      <c r="BE337" s="168"/>
      <c r="BF337" s="168"/>
      <c r="BG337" s="168"/>
      <c r="BH337" s="168"/>
      <c r="BI337" s="168"/>
      <c r="BJ337" s="168"/>
      <c r="BK337" s="168"/>
      <c r="BL337" s="168"/>
      <c r="BM337" s="168"/>
      <c r="BN337" s="168"/>
      <c r="BO337" s="168"/>
      <c r="BP337" s="168"/>
      <c r="BQ337" s="168"/>
      <c r="BR337" s="168"/>
      <c r="BS337" s="168"/>
      <c r="BT337" s="168"/>
      <c r="BU337" s="168"/>
      <c r="BV337" s="168"/>
      <c r="BW337" s="168"/>
      <c r="BX337" s="168"/>
      <c r="BY337" s="168"/>
    </row>
    <row r="338" spans="12:77" ht="13.5">
      <c r="L338" s="167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68"/>
      <c r="BD338" s="168"/>
      <c r="BE338" s="168"/>
      <c r="BF338" s="168"/>
      <c r="BG338" s="168"/>
      <c r="BH338" s="168"/>
      <c r="BI338" s="168"/>
      <c r="BJ338" s="168"/>
      <c r="BK338" s="168"/>
      <c r="BL338" s="168"/>
      <c r="BM338" s="168"/>
      <c r="BN338" s="168"/>
      <c r="BO338" s="168"/>
      <c r="BP338" s="168"/>
      <c r="BQ338" s="168"/>
      <c r="BR338" s="168"/>
      <c r="BS338" s="168"/>
      <c r="BT338" s="168"/>
      <c r="BU338" s="168"/>
      <c r="BV338" s="168"/>
      <c r="BW338" s="168"/>
      <c r="BX338" s="168"/>
      <c r="BY338" s="168"/>
    </row>
    <row r="339" spans="12:77" ht="13.5">
      <c r="L339" s="167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  <c r="BG339" s="168"/>
      <c r="BH339" s="168"/>
      <c r="BI339" s="168"/>
      <c r="BJ339" s="168"/>
      <c r="BK339" s="168"/>
      <c r="BL339" s="168"/>
      <c r="BM339" s="168"/>
      <c r="BN339" s="168"/>
      <c r="BO339" s="168"/>
      <c r="BP339" s="168"/>
      <c r="BQ339" s="168"/>
      <c r="BR339" s="168"/>
      <c r="BS339" s="168"/>
      <c r="BT339" s="168"/>
      <c r="BU339" s="168"/>
      <c r="BV339" s="168"/>
      <c r="BW339" s="168"/>
      <c r="BX339" s="168"/>
      <c r="BY339" s="168"/>
    </row>
    <row r="340" spans="12:77" ht="13.5">
      <c r="L340" s="167"/>
      <c r="BC340" s="177"/>
      <c r="BH340" s="172"/>
      <c r="BY340" s="168"/>
    </row>
    <row r="341" spans="55:77" ht="13.5">
      <c r="BC341" s="177"/>
      <c r="BH341" s="172"/>
      <c r="BY341" s="168"/>
    </row>
    <row r="342" spans="55:77" ht="13.5">
      <c r="BC342" s="177"/>
      <c r="BH342" s="172"/>
      <c r="BY342" s="168"/>
    </row>
    <row r="343" spans="55:77" ht="13.5">
      <c r="BC343" s="177"/>
      <c r="BH343" s="172"/>
      <c r="BY343" s="168"/>
    </row>
    <row r="344" spans="55:77" ht="13.5">
      <c r="BC344" s="177"/>
      <c r="BH344" s="172"/>
      <c r="BY344" s="168"/>
    </row>
    <row r="345" spans="55:77" ht="13.5">
      <c r="BC345" s="177"/>
      <c r="BH345" s="172"/>
      <c r="BY345" s="168"/>
    </row>
    <row r="346" spans="55:77" ht="13.5">
      <c r="BC346" s="177"/>
      <c r="BH346" s="172"/>
      <c r="BY346" s="168"/>
    </row>
    <row r="347" spans="55:77" ht="13.5">
      <c r="BC347" s="177"/>
      <c r="BH347" s="172"/>
      <c r="BY347" s="168"/>
    </row>
    <row r="348" spans="55:77" ht="13.5">
      <c r="BC348" s="177"/>
      <c r="BH348" s="172"/>
      <c r="BY348" s="168"/>
    </row>
    <row r="349" spans="55:77" ht="13.5">
      <c r="BC349" s="177"/>
      <c r="BH349" s="172"/>
      <c r="BY349" s="168"/>
    </row>
    <row r="350" spans="55:77" ht="13.5">
      <c r="BC350" s="177"/>
      <c r="BH350" s="172"/>
      <c r="BY350" s="168"/>
    </row>
    <row r="351" spans="55:77" ht="13.5">
      <c r="BC351" s="177"/>
      <c r="BH351" s="172"/>
      <c r="BY351" s="168"/>
    </row>
    <row r="352" spans="55:77" ht="13.5">
      <c r="BC352" s="177"/>
      <c r="BH352" s="172"/>
      <c r="BY352" s="168"/>
    </row>
    <row r="353" spans="55:77" ht="13.5">
      <c r="BC353" s="177"/>
      <c r="BH353" s="172"/>
      <c r="BY353" s="168"/>
    </row>
    <row r="354" spans="55:77" ht="13.5">
      <c r="BC354" s="177"/>
      <c r="BH354" s="172"/>
      <c r="BY354" s="168"/>
    </row>
    <row r="355" spans="55:77" ht="13.5">
      <c r="BC355" s="177"/>
      <c r="BH355" s="172"/>
      <c r="BY355" s="168"/>
    </row>
    <row r="356" spans="55:77" ht="13.5">
      <c r="BC356" s="177"/>
      <c r="BH356" s="172"/>
      <c r="BY356" s="168"/>
    </row>
    <row r="357" spans="55:77" ht="13.5">
      <c r="BC357" s="177"/>
      <c r="BH357" s="172"/>
      <c r="BY357" s="168"/>
    </row>
    <row r="358" spans="55:77" ht="13.5">
      <c r="BC358" s="177"/>
      <c r="BH358" s="172"/>
      <c r="BY358" s="168"/>
    </row>
    <row r="359" spans="55:77" ht="13.5">
      <c r="BC359" s="177"/>
      <c r="BH359" s="172"/>
      <c r="BY359" s="168"/>
    </row>
    <row r="360" spans="55:77" ht="13.5">
      <c r="BC360" s="177"/>
      <c r="BH360" s="172"/>
      <c r="BY360" s="168"/>
    </row>
    <row r="361" spans="55:77" ht="13.5">
      <c r="BC361" s="177"/>
      <c r="BH361" s="172"/>
      <c r="BY361" s="168"/>
    </row>
    <row r="362" spans="55:77" ht="13.5">
      <c r="BC362" s="177"/>
      <c r="BH362" s="172"/>
      <c r="BY362" s="168"/>
    </row>
    <row r="363" spans="55:77" ht="13.5">
      <c r="BC363" s="177"/>
      <c r="BH363" s="172"/>
      <c r="BY363" s="168"/>
    </row>
    <row r="364" spans="55:77" ht="13.5">
      <c r="BC364" s="177"/>
      <c r="BH364" s="172"/>
      <c r="BY364" s="168"/>
    </row>
    <row r="365" spans="55:77" ht="13.5">
      <c r="BC365" s="177"/>
      <c r="BH365" s="172"/>
      <c r="BY365" s="168"/>
    </row>
    <row r="366" spans="55:77" ht="13.5">
      <c r="BC366" s="177"/>
      <c r="BH366" s="172"/>
      <c r="BY366" s="168"/>
    </row>
    <row r="367" spans="55:77" ht="13.5">
      <c r="BC367" s="177"/>
      <c r="BH367" s="172"/>
      <c r="BY367" s="168"/>
    </row>
    <row r="368" spans="55:77" ht="13.5">
      <c r="BC368" s="177"/>
      <c r="BH368" s="172"/>
      <c r="BY368" s="168"/>
    </row>
    <row r="369" spans="55:77" ht="13.5">
      <c r="BC369" s="177"/>
      <c r="BH369" s="172"/>
      <c r="BY369" s="168"/>
    </row>
    <row r="370" spans="55:77" ht="13.5">
      <c r="BC370" s="177"/>
      <c r="BH370" s="172"/>
      <c r="BY370" s="168"/>
    </row>
    <row r="371" spans="55:77" ht="13.5">
      <c r="BC371" s="177"/>
      <c r="BH371" s="172"/>
      <c r="BY371" s="168"/>
    </row>
    <row r="372" spans="55:77" ht="13.5">
      <c r="BC372" s="177"/>
      <c r="BH372" s="172"/>
      <c r="BY372" s="168"/>
    </row>
    <row r="373" spans="55:77" ht="13.5">
      <c r="BC373" s="177"/>
      <c r="BH373" s="172"/>
      <c r="BY373" s="168"/>
    </row>
    <row r="374" spans="55:77" ht="13.5">
      <c r="BC374" s="177"/>
      <c r="BH374" s="172"/>
      <c r="BY374" s="168"/>
    </row>
    <row r="375" spans="55:77" ht="13.5">
      <c r="BC375" s="177"/>
      <c r="BH375" s="172"/>
      <c r="BY375" s="168"/>
    </row>
    <row r="376" spans="55:77" ht="13.5">
      <c r="BC376" s="177"/>
      <c r="BH376" s="172"/>
      <c r="BY376" s="168"/>
    </row>
    <row r="377" spans="55:77" ht="13.5">
      <c r="BC377" s="177"/>
      <c r="BH377" s="172"/>
      <c r="BY377" s="168"/>
    </row>
    <row r="378" spans="55:77" ht="13.5">
      <c r="BC378" s="177"/>
      <c r="BH378" s="172"/>
      <c r="BY378" s="168"/>
    </row>
    <row r="379" spans="55:77" ht="13.5">
      <c r="BC379" s="177"/>
      <c r="BH379" s="172"/>
      <c r="BY379" s="168"/>
    </row>
    <row r="380" spans="55:77" ht="13.5">
      <c r="BC380" s="177"/>
      <c r="BH380" s="172"/>
      <c r="BY380" s="168"/>
    </row>
    <row r="381" spans="55:77" ht="13.5">
      <c r="BC381" s="177"/>
      <c r="BH381" s="172"/>
      <c r="BY381" s="168"/>
    </row>
    <row r="382" spans="55:77" ht="13.5">
      <c r="BC382" s="177"/>
      <c r="BH382" s="172"/>
      <c r="BY382" s="168"/>
    </row>
    <row r="383" spans="55:77" ht="13.5">
      <c r="BC383" s="177"/>
      <c r="BH383" s="172"/>
      <c r="BY383" s="168"/>
    </row>
    <row r="384" spans="55:77" ht="13.5">
      <c r="BC384" s="177"/>
      <c r="BH384" s="172"/>
      <c r="BY384" s="168"/>
    </row>
    <row r="385" spans="55:77" ht="13.5">
      <c r="BC385" s="177"/>
      <c r="BH385" s="172"/>
      <c r="BY385" s="168"/>
    </row>
    <row r="386" spans="55:77" ht="13.5">
      <c r="BC386" s="177"/>
      <c r="BH386" s="172"/>
      <c r="BY386" s="168"/>
    </row>
    <row r="387" spans="55:77" ht="13.5">
      <c r="BC387" s="177"/>
      <c r="BH387" s="172"/>
      <c r="BY387" s="168"/>
    </row>
    <row r="388" spans="55:77" ht="13.5">
      <c r="BC388" s="177"/>
      <c r="BH388" s="172"/>
      <c r="BY388" s="168"/>
    </row>
    <row r="389" spans="55:77" ht="13.5">
      <c r="BC389" s="177"/>
      <c r="BH389" s="172"/>
      <c r="BY389" s="168"/>
    </row>
    <row r="390" spans="55:77" ht="13.5">
      <c r="BC390" s="177"/>
      <c r="BH390" s="172"/>
      <c r="BY390" s="168"/>
    </row>
    <row r="391" spans="55:77" ht="13.5">
      <c r="BC391" s="177"/>
      <c r="BH391" s="172"/>
      <c r="BY391" s="168"/>
    </row>
    <row r="392" spans="55:77" ht="13.5">
      <c r="BC392" s="177"/>
      <c r="BH392" s="172"/>
      <c r="BY392" s="168"/>
    </row>
    <row r="393" spans="55:77" ht="13.5">
      <c r="BC393" s="177"/>
      <c r="BH393" s="172"/>
      <c r="BY393" s="168"/>
    </row>
    <row r="394" spans="55:77" ht="13.5">
      <c r="BC394" s="177"/>
      <c r="BH394" s="172"/>
      <c r="BY394" s="168"/>
    </row>
    <row r="395" spans="55:77" ht="13.5">
      <c r="BC395" s="177"/>
      <c r="BH395" s="172"/>
      <c r="BY395" s="168"/>
    </row>
    <row r="396" spans="55:77" ht="13.5">
      <c r="BC396" s="177"/>
      <c r="BH396" s="172"/>
      <c r="BY396" s="168"/>
    </row>
    <row r="397" spans="55:77" ht="13.5">
      <c r="BC397" s="177"/>
      <c r="BH397" s="172"/>
      <c r="BY397" s="168"/>
    </row>
    <row r="398" spans="55:77" ht="13.5">
      <c r="BC398" s="177"/>
      <c r="BH398" s="172"/>
      <c r="BY398" s="168"/>
    </row>
    <row r="399" spans="55:77" ht="13.5">
      <c r="BC399" s="177"/>
      <c r="BH399" s="172"/>
      <c r="BY399" s="168"/>
    </row>
    <row r="400" spans="55:77" ht="13.5">
      <c r="BC400" s="177"/>
      <c r="BH400" s="172"/>
      <c r="BY400" s="168"/>
    </row>
    <row r="401" spans="55:77" ht="13.5">
      <c r="BC401" s="177"/>
      <c r="BH401" s="172"/>
      <c r="BY401" s="168"/>
    </row>
    <row r="402" spans="55:77" ht="13.5">
      <c r="BC402" s="177"/>
      <c r="BH402" s="172"/>
      <c r="BY402" s="168"/>
    </row>
    <row r="403" spans="55:77" ht="13.5">
      <c r="BC403" s="177"/>
      <c r="BH403" s="172"/>
      <c r="BY403" s="168"/>
    </row>
    <row r="404" spans="55:77" ht="13.5">
      <c r="BC404" s="177"/>
      <c r="BH404" s="172"/>
      <c r="BY404" s="168"/>
    </row>
    <row r="405" spans="55:77" ht="13.5">
      <c r="BC405" s="177"/>
      <c r="BH405" s="172"/>
      <c r="BY405" s="168"/>
    </row>
    <row r="406" spans="55:77" ht="13.5">
      <c r="BC406" s="177"/>
      <c r="BH406" s="172"/>
      <c r="BY406" s="168"/>
    </row>
    <row r="407" spans="55:77" ht="13.5">
      <c r="BC407" s="177"/>
      <c r="BH407" s="172"/>
      <c r="BY407" s="168"/>
    </row>
    <row r="408" spans="55:77" ht="13.5">
      <c r="BC408" s="177"/>
      <c r="BH408" s="172"/>
      <c r="BY408" s="168"/>
    </row>
    <row r="409" spans="55:77" ht="13.5">
      <c r="BC409" s="177"/>
      <c r="BH409" s="172"/>
      <c r="BY409" s="168"/>
    </row>
    <row r="410" spans="55:77" ht="13.5">
      <c r="BC410" s="177"/>
      <c r="BH410" s="172"/>
      <c r="BY410" s="168"/>
    </row>
    <row r="411" spans="55:77" ht="13.5">
      <c r="BC411" s="177"/>
      <c r="BH411" s="172"/>
      <c r="BY411" s="168"/>
    </row>
    <row r="412" spans="55:77" ht="13.5">
      <c r="BC412" s="177"/>
      <c r="BH412" s="172"/>
      <c r="BY412" s="168"/>
    </row>
    <row r="413" spans="55:77" ht="13.5">
      <c r="BC413" s="177"/>
      <c r="BH413" s="172"/>
      <c r="BY413" s="168"/>
    </row>
    <row r="414" spans="55:77" ht="13.5">
      <c r="BC414" s="177"/>
      <c r="BH414" s="172"/>
      <c r="BY414" s="168"/>
    </row>
    <row r="415" spans="55:77" ht="13.5">
      <c r="BC415" s="177"/>
      <c r="BH415" s="172"/>
      <c r="BY415" s="168"/>
    </row>
    <row r="416" spans="55:77" ht="13.5">
      <c r="BC416" s="177"/>
      <c r="BH416" s="172"/>
      <c r="BY416" s="168"/>
    </row>
    <row r="417" spans="55:77" ht="13.5">
      <c r="BC417" s="177"/>
      <c r="BH417" s="172"/>
      <c r="BY417" s="168"/>
    </row>
    <row r="418" spans="55:77" ht="13.5">
      <c r="BC418" s="177"/>
      <c r="BH418" s="172"/>
      <c r="BY418" s="168"/>
    </row>
    <row r="419" spans="55:77" ht="13.5">
      <c r="BC419" s="177"/>
      <c r="BH419" s="172"/>
      <c r="BY419" s="168"/>
    </row>
    <row r="420" spans="55:77" ht="13.5">
      <c r="BC420" s="177"/>
      <c r="BH420" s="172"/>
      <c r="BY420" s="168"/>
    </row>
    <row r="421" spans="55:77" ht="13.5">
      <c r="BC421" s="177"/>
      <c r="BH421" s="172"/>
      <c r="BY421" s="168"/>
    </row>
    <row r="422" spans="55:77" ht="13.5">
      <c r="BC422" s="177"/>
      <c r="BH422" s="172"/>
      <c r="BY422" s="168"/>
    </row>
    <row r="423" spans="55:77" ht="13.5">
      <c r="BC423" s="177"/>
      <c r="BH423" s="172"/>
      <c r="BY423" s="168"/>
    </row>
    <row r="424" spans="55:77" ht="13.5">
      <c r="BC424" s="177"/>
      <c r="BH424" s="172"/>
      <c r="BY424" s="168"/>
    </row>
    <row r="425" spans="55:77" ht="13.5">
      <c r="BC425" s="177"/>
      <c r="BH425" s="172"/>
      <c r="BY425" s="168"/>
    </row>
    <row r="426" spans="55:77" ht="13.5">
      <c r="BC426" s="177"/>
      <c r="BH426" s="172"/>
      <c r="BY426" s="168"/>
    </row>
    <row r="427" spans="55:77" ht="13.5">
      <c r="BC427" s="177"/>
      <c r="BH427" s="172"/>
      <c r="BY427" s="168"/>
    </row>
    <row r="428" spans="55:77" ht="13.5">
      <c r="BC428" s="177"/>
      <c r="BH428" s="172"/>
      <c r="BY428" s="168"/>
    </row>
    <row r="429" spans="55:77" ht="13.5">
      <c r="BC429" s="177"/>
      <c r="BH429" s="172"/>
      <c r="BY429" s="168"/>
    </row>
    <row r="430" spans="55:77" ht="13.5">
      <c r="BC430" s="177"/>
      <c r="BH430" s="172"/>
      <c r="BY430" s="168"/>
    </row>
    <row r="431" spans="55:77" ht="13.5">
      <c r="BC431" s="177"/>
      <c r="BH431" s="172"/>
      <c r="BY431" s="168"/>
    </row>
    <row r="432" spans="55:77" ht="13.5">
      <c r="BC432" s="177"/>
      <c r="BH432" s="172"/>
      <c r="BY432" s="168"/>
    </row>
    <row r="433" spans="55:77" ht="13.5">
      <c r="BC433" s="177"/>
      <c r="BH433" s="172"/>
      <c r="BY433" s="168"/>
    </row>
    <row r="434" spans="55:77" ht="13.5">
      <c r="BC434" s="177"/>
      <c r="BH434" s="172"/>
      <c r="BY434" s="168"/>
    </row>
    <row r="435" spans="55:77" ht="13.5">
      <c r="BC435" s="177"/>
      <c r="BH435" s="172"/>
      <c r="BY435" s="168"/>
    </row>
    <row r="436" spans="55:77" ht="13.5">
      <c r="BC436" s="177"/>
      <c r="BH436" s="172"/>
      <c r="BY436" s="168"/>
    </row>
    <row r="437" spans="55:77" ht="13.5">
      <c r="BC437" s="177"/>
      <c r="BH437" s="172"/>
      <c r="BY437" s="168"/>
    </row>
    <row r="438" spans="55:77" ht="13.5">
      <c r="BC438" s="177"/>
      <c r="BH438" s="172"/>
      <c r="BY438" s="168"/>
    </row>
    <row r="439" spans="55:77" ht="13.5">
      <c r="BC439" s="177"/>
      <c r="BH439" s="172"/>
      <c r="BY439" s="168"/>
    </row>
    <row r="440" spans="55:77" ht="13.5">
      <c r="BC440" s="177"/>
      <c r="BH440" s="172"/>
      <c r="BY440" s="168"/>
    </row>
    <row r="441" spans="55:77" ht="13.5">
      <c r="BC441" s="177"/>
      <c r="BH441" s="172"/>
      <c r="BY441" s="168"/>
    </row>
    <row r="442" spans="55:77" ht="13.5">
      <c r="BC442" s="177"/>
      <c r="BH442" s="172"/>
      <c r="BY442" s="168"/>
    </row>
    <row r="443" spans="55:77" ht="13.5">
      <c r="BC443" s="177"/>
      <c r="BH443" s="172"/>
      <c r="BY443" s="168"/>
    </row>
    <row r="444" spans="55:77" ht="13.5">
      <c r="BC444" s="177"/>
      <c r="BH444" s="172"/>
      <c r="BY444" s="168"/>
    </row>
    <row r="445" spans="55:77" ht="13.5">
      <c r="BC445" s="177"/>
      <c r="BH445" s="172"/>
      <c r="BY445" s="168"/>
    </row>
    <row r="446" spans="55:77" ht="13.5">
      <c r="BC446" s="177"/>
      <c r="BH446" s="172"/>
      <c r="BY446" s="168"/>
    </row>
    <row r="447" spans="55:77" ht="13.5">
      <c r="BC447" s="177"/>
      <c r="BH447" s="172"/>
      <c r="BY447" s="168"/>
    </row>
    <row r="448" spans="55:77" ht="13.5">
      <c r="BC448" s="177"/>
      <c r="BH448" s="172"/>
      <c r="BY448" s="168"/>
    </row>
    <row r="449" spans="55:77" ht="13.5">
      <c r="BC449" s="177"/>
      <c r="BH449" s="172"/>
      <c r="BY449" s="168"/>
    </row>
    <row r="450" spans="55:77" ht="13.5">
      <c r="BC450" s="177"/>
      <c r="BH450" s="172"/>
      <c r="BY450" s="168"/>
    </row>
    <row r="451" spans="55:77" ht="13.5">
      <c r="BC451" s="177"/>
      <c r="BH451" s="172"/>
      <c r="BY451" s="168"/>
    </row>
    <row r="452" spans="55:77" ht="13.5">
      <c r="BC452" s="177"/>
      <c r="BH452" s="172"/>
      <c r="BY452" s="168"/>
    </row>
    <row r="453" spans="55:77" ht="13.5">
      <c r="BC453" s="177"/>
      <c r="BH453" s="172"/>
      <c r="BY453" s="168"/>
    </row>
    <row r="454" spans="55:77" ht="13.5">
      <c r="BC454" s="177"/>
      <c r="BH454" s="172"/>
      <c r="BY454" s="168"/>
    </row>
    <row r="455" spans="55:77" ht="13.5">
      <c r="BC455" s="177"/>
      <c r="BH455" s="172"/>
      <c r="BY455" s="168"/>
    </row>
    <row r="456" spans="55:77" ht="13.5">
      <c r="BC456" s="177"/>
      <c r="BH456" s="172"/>
      <c r="BY456" s="168"/>
    </row>
    <row r="457" spans="55:77" ht="13.5">
      <c r="BC457" s="177"/>
      <c r="BH457" s="172"/>
      <c r="BY457" s="168"/>
    </row>
    <row r="458" spans="55:77" ht="13.5">
      <c r="BC458" s="177"/>
      <c r="BH458" s="172"/>
      <c r="BY458" s="168"/>
    </row>
    <row r="459" spans="55:77" ht="13.5">
      <c r="BC459" s="177"/>
      <c r="BH459" s="172"/>
      <c r="BY459" s="168"/>
    </row>
    <row r="460" spans="55:77" ht="13.5">
      <c r="BC460" s="177"/>
      <c r="BH460" s="172"/>
      <c r="BY460" s="168"/>
    </row>
    <row r="461" spans="55:77" ht="13.5">
      <c r="BC461" s="177"/>
      <c r="BH461" s="172"/>
      <c r="BY461" s="168"/>
    </row>
    <row r="462" spans="55:77" ht="13.5">
      <c r="BC462" s="177"/>
      <c r="BH462" s="172"/>
      <c r="BY462" s="168"/>
    </row>
    <row r="463" spans="55:77" ht="13.5">
      <c r="BC463" s="177"/>
      <c r="BH463" s="172"/>
      <c r="BY463" s="168"/>
    </row>
    <row r="464" spans="55:77" ht="13.5">
      <c r="BC464" s="177"/>
      <c r="BH464" s="172"/>
      <c r="BY464" s="168"/>
    </row>
    <row r="465" spans="55:77" ht="13.5">
      <c r="BC465" s="177"/>
      <c r="BH465" s="172"/>
      <c r="BY465" s="168"/>
    </row>
    <row r="466" spans="55:77" ht="13.5">
      <c r="BC466" s="177"/>
      <c r="BH466" s="172"/>
      <c r="BY466" s="168"/>
    </row>
    <row r="467" spans="55:77" ht="13.5">
      <c r="BC467" s="177"/>
      <c r="BH467" s="172"/>
      <c r="BY467" s="168"/>
    </row>
    <row r="468" spans="55:77" ht="13.5">
      <c r="BC468" s="177"/>
      <c r="BH468" s="172"/>
      <c r="BY468" s="168"/>
    </row>
    <row r="469" spans="55:77" ht="13.5">
      <c r="BC469" s="177"/>
      <c r="BH469" s="172"/>
      <c r="BY469" s="168"/>
    </row>
    <row r="470" spans="55:77" ht="13.5">
      <c r="BC470" s="177"/>
      <c r="BH470" s="172"/>
      <c r="BY470" s="168"/>
    </row>
    <row r="471" spans="55:77" ht="13.5">
      <c r="BC471" s="177"/>
      <c r="BH471" s="172"/>
      <c r="BY471" s="168"/>
    </row>
    <row r="472" spans="55:77" ht="13.5">
      <c r="BC472" s="177"/>
      <c r="BH472" s="172"/>
      <c r="BY472" s="168"/>
    </row>
    <row r="473" spans="55:77" ht="13.5">
      <c r="BC473" s="177"/>
      <c r="BH473" s="172"/>
      <c r="BY473" s="168"/>
    </row>
    <row r="474" spans="55:77" ht="13.5">
      <c r="BC474" s="177"/>
      <c r="BH474" s="172"/>
      <c r="BY474" s="168"/>
    </row>
    <row r="475" spans="55:77" ht="13.5">
      <c r="BC475" s="177"/>
      <c r="BH475" s="172"/>
      <c r="BY475" s="168"/>
    </row>
    <row r="476" spans="55:77" ht="13.5">
      <c r="BC476" s="177"/>
      <c r="BH476" s="172"/>
      <c r="BY476" s="168"/>
    </row>
    <row r="477" spans="55:77" ht="13.5">
      <c r="BC477" s="177"/>
      <c r="BH477" s="172"/>
      <c r="BY477" s="168"/>
    </row>
    <row r="478" spans="55:77" ht="13.5">
      <c r="BC478" s="177"/>
      <c r="BH478" s="172"/>
      <c r="BY478" s="168"/>
    </row>
    <row r="479" spans="55:77" ht="13.5">
      <c r="BC479" s="177"/>
      <c r="BH479" s="172"/>
      <c r="BY479" s="168"/>
    </row>
    <row r="480" spans="55:77" ht="13.5">
      <c r="BC480" s="177"/>
      <c r="BH480" s="172"/>
      <c r="BY480" s="168"/>
    </row>
    <row r="481" spans="55:77" ht="13.5">
      <c r="BC481" s="177"/>
      <c r="BH481" s="172"/>
      <c r="BY481" s="168"/>
    </row>
    <row r="482" spans="55:77" ht="13.5">
      <c r="BC482" s="177"/>
      <c r="BH482" s="172"/>
      <c r="BY482" s="168"/>
    </row>
    <row r="483" spans="55:77" ht="13.5">
      <c r="BC483" s="177"/>
      <c r="BH483" s="172"/>
      <c r="BY483" s="168"/>
    </row>
    <row r="484" spans="55:77" ht="13.5">
      <c r="BC484" s="177"/>
      <c r="BH484" s="172"/>
      <c r="BY484" s="168"/>
    </row>
    <row r="485" spans="55:77" ht="13.5">
      <c r="BC485" s="177"/>
      <c r="BH485" s="172"/>
      <c r="BY485" s="168"/>
    </row>
    <row r="486" spans="55:77" ht="13.5">
      <c r="BC486" s="177"/>
      <c r="BH486" s="172"/>
      <c r="BY486" s="168"/>
    </row>
    <row r="487" spans="55:77" ht="13.5">
      <c r="BC487" s="177"/>
      <c r="BH487" s="172"/>
      <c r="BY487" s="168"/>
    </row>
    <row r="488" spans="55:77" ht="13.5">
      <c r="BC488" s="177"/>
      <c r="BH488" s="172"/>
      <c r="BY488" s="168"/>
    </row>
    <row r="489" spans="55:77" ht="13.5">
      <c r="BC489" s="177"/>
      <c r="BH489" s="172"/>
      <c r="BY489" s="168"/>
    </row>
    <row r="490" spans="55:77" ht="13.5">
      <c r="BC490" s="177"/>
      <c r="BH490" s="172"/>
      <c r="BY490" s="168"/>
    </row>
    <row r="491" spans="55:77" ht="13.5">
      <c r="BC491" s="177"/>
      <c r="BH491" s="172"/>
      <c r="BY491" s="168"/>
    </row>
    <row r="492" spans="55:77" ht="13.5">
      <c r="BC492" s="177"/>
      <c r="BH492" s="172"/>
      <c r="BY492" s="168"/>
    </row>
    <row r="493" spans="55:77" ht="13.5">
      <c r="BC493" s="177"/>
      <c r="BH493" s="172"/>
      <c r="BY493" s="168"/>
    </row>
    <row r="494" spans="55:77" ht="13.5">
      <c r="BC494" s="177"/>
      <c r="BH494" s="172"/>
      <c r="BY494" s="168"/>
    </row>
    <row r="495" spans="55:77" ht="13.5">
      <c r="BC495" s="177"/>
      <c r="BH495" s="172"/>
      <c r="BY495" s="168"/>
    </row>
    <row r="496" spans="55:77" ht="13.5">
      <c r="BC496" s="177"/>
      <c r="BH496" s="172"/>
      <c r="BY496" s="168"/>
    </row>
    <row r="497" spans="55:77" ht="13.5">
      <c r="BC497" s="177"/>
      <c r="BH497" s="172"/>
      <c r="BY497" s="168"/>
    </row>
    <row r="498" spans="55:77" ht="13.5">
      <c r="BC498" s="177"/>
      <c r="BH498" s="172"/>
      <c r="BY498" s="168"/>
    </row>
    <row r="499" spans="55:77" ht="13.5">
      <c r="BC499" s="177"/>
      <c r="BH499" s="172"/>
      <c r="BY499" s="168"/>
    </row>
    <row r="500" spans="55:77" ht="13.5">
      <c r="BC500" s="177"/>
      <c r="BH500" s="172"/>
      <c r="BY500" s="168"/>
    </row>
    <row r="501" spans="55:77" ht="13.5">
      <c r="BC501" s="177"/>
      <c r="BH501" s="172"/>
      <c r="BY501" s="168"/>
    </row>
    <row r="502" spans="55:77" ht="13.5">
      <c r="BC502" s="177"/>
      <c r="BH502" s="172"/>
      <c r="BY502" s="168"/>
    </row>
    <row r="503" spans="55:77" ht="13.5">
      <c r="BC503" s="177"/>
      <c r="BH503" s="172"/>
      <c r="BY503" s="168"/>
    </row>
    <row r="504" spans="55:77" ht="13.5">
      <c r="BC504" s="177"/>
      <c r="BH504" s="172"/>
      <c r="BY504" s="168"/>
    </row>
    <row r="505" spans="55:77" ht="13.5">
      <c r="BC505" s="177"/>
      <c r="BH505" s="172"/>
      <c r="BY505" s="168"/>
    </row>
    <row r="506" spans="55:77" ht="13.5">
      <c r="BC506" s="177"/>
      <c r="BH506" s="172"/>
      <c r="BY506" s="168"/>
    </row>
    <row r="507" spans="55:77" ht="13.5">
      <c r="BC507" s="177"/>
      <c r="BH507" s="172"/>
      <c r="BY507" s="168"/>
    </row>
    <row r="508" spans="55:77" ht="13.5">
      <c r="BC508" s="177"/>
      <c r="BH508" s="172"/>
      <c r="BY508" s="168"/>
    </row>
    <row r="509" spans="55:77" ht="13.5">
      <c r="BC509" s="177"/>
      <c r="BH509" s="172"/>
      <c r="BY509" s="168"/>
    </row>
    <row r="510" spans="55:77" ht="13.5">
      <c r="BC510" s="177"/>
      <c r="BH510" s="172"/>
      <c r="BY510" s="168"/>
    </row>
    <row r="511" spans="55:77" ht="13.5">
      <c r="BC511" s="177"/>
      <c r="BH511" s="172"/>
      <c r="BY511" s="168"/>
    </row>
    <row r="512" spans="55:77" ht="13.5">
      <c r="BC512" s="177"/>
      <c r="BH512" s="172"/>
      <c r="BY512" s="168"/>
    </row>
    <row r="513" spans="55:77" ht="13.5">
      <c r="BC513" s="177"/>
      <c r="BH513" s="172"/>
      <c r="BY513" s="168"/>
    </row>
    <row r="514" spans="55:77" ht="13.5">
      <c r="BC514" s="177"/>
      <c r="BH514" s="172"/>
      <c r="BY514" s="168"/>
    </row>
    <row r="515" spans="55:77" ht="13.5">
      <c r="BC515" s="177"/>
      <c r="BH515" s="172"/>
      <c r="BY515" s="168"/>
    </row>
    <row r="516" spans="55:77" ht="13.5">
      <c r="BC516" s="177"/>
      <c r="BH516" s="172"/>
      <c r="BY516" s="168"/>
    </row>
    <row r="517" spans="55:77" ht="13.5">
      <c r="BC517" s="177"/>
      <c r="BH517" s="172"/>
      <c r="BY517" s="168"/>
    </row>
    <row r="518" spans="55:77" ht="13.5">
      <c r="BC518" s="177"/>
      <c r="BH518" s="172"/>
      <c r="BY518" s="168"/>
    </row>
    <row r="519" spans="55:77" ht="13.5">
      <c r="BC519" s="177"/>
      <c r="BH519" s="172"/>
      <c r="BY519" s="168"/>
    </row>
    <row r="520" spans="55:77" ht="13.5">
      <c r="BC520" s="177"/>
      <c r="BH520" s="172"/>
      <c r="BY520" s="168"/>
    </row>
    <row r="521" spans="55:77" ht="13.5">
      <c r="BC521" s="177"/>
      <c r="BH521" s="172"/>
      <c r="BY521" s="168"/>
    </row>
    <row r="522" spans="55:77" ht="13.5">
      <c r="BC522" s="177"/>
      <c r="BH522" s="172"/>
      <c r="BY522" s="168"/>
    </row>
    <row r="523" spans="55:77" ht="13.5">
      <c r="BC523" s="177"/>
      <c r="BH523" s="172"/>
      <c r="BY523" s="168"/>
    </row>
    <row r="524" spans="55:77" ht="13.5">
      <c r="BC524" s="177"/>
      <c r="BH524" s="172"/>
      <c r="BY524" s="168"/>
    </row>
    <row r="525" spans="55:77" ht="13.5">
      <c r="BC525" s="177"/>
      <c r="BH525" s="172"/>
      <c r="BY525" s="168"/>
    </row>
    <row r="526" spans="55:77" ht="13.5">
      <c r="BC526" s="177"/>
      <c r="BH526" s="172"/>
      <c r="BY526" s="168"/>
    </row>
    <row r="527" spans="55:77" ht="13.5">
      <c r="BC527" s="177"/>
      <c r="BH527" s="172"/>
      <c r="BY527" s="168"/>
    </row>
    <row r="528" spans="55:77" ht="13.5">
      <c r="BC528" s="177"/>
      <c r="BH528" s="172"/>
      <c r="BY528" s="168"/>
    </row>
    <row r="529" spans="55:77" ht="13.5">
      <c r="BC529" s="177"/>
      <c r="BH529" s="172"/>
      <c r="BY529" s="168"/>
    </row>
    <row r="530" spans="55:77" ht="13.5">
      <c r="BC530" s="177"/>
      <c r="BH530" s="172"/>
      <c r="BY530" s="168"/>
    </row>
    <row r="531" spans="55:77" ht="13.5">
      <c r="BC531" s="177"/>
      <c r="BH531" s="172"/>
      <c r="BY531" s="168"/>
    </row>
    <row r="532" spans="55:77" ht="13.5">
      <c r="BC532" s="177"/>
      <c r="BH532" s="172"/>
      <c r="BY532" s="168"/>
    </row>
    <row r="533" spans="55:77" ht="13.5">
      <c r="BC533" s="177"/>
      <c r="BH533" s="172"/>
      <c r="BY533" s="168"/>
    </row>
    <row r="534" spans="55:77" ht="13.5">
      <c r="BC534" s="177"/>
      <c r="BH534" s="172"/>
      <c r="BY534" s="168"/>
    </row>
    <row r="535" spans="55:77" ht="13.5">
      <c r="BC535" s="177"/>
      <c r="BH535" s="172"/>
      <c r="BY535" s="168"/>
    </row>
    <row r="536" spans="55:77" ht="13.5">
      <c r="BC536" s="177"/>
      <c r="BH536" s="172"/>
      <c r="BY536" s="168"/>
    </row>
    <row r="537" spans="55:77" ht="13.5">
      <c r="BC537" s="177"/>
      <c r="BH537" s="172"/>
      <c r="BY537" s="168"/>
    </row>
    <row r="538" spans="55:77" ht="13.5">
      <c r="BC538" s="177"/>
      <c r="BH538" s="172"/>
      <c r="BY538" s="168"/>
    </row>
    <row r="539" spans="55:77" ht="13.5">
      <c r="BC539" s="177"/>
      <c r="BH539" s="172"/>
      <c r="BY539" s="168"/>
    </row>
    <row r="540" spans="55:77" ht="13.5">
      <c r="BC540" s="177"/>
      <c r="BH540" s="172"/>
      <c r="BY540" s="168"/>
    </row>
    <row r="541" spans="55:77" ht="13.5">
      <c r="BC541" s="177"/>
      <c r="BH541" s="172"/>
      <c r="BY541" s="168"/>
    </row>
    <row r="542" spans="55:77" ht="13.5">
      <c r="BC542" s="177"/>
      <c r="BH542" s="172"/>
      <c r="BY542" s="168"/>
    </row>
    <row r="543" spans="55:77" ht="13.5">
      <c r="BC543" s="177"/>
      <c r="BH543" s="172"/>
      <c r="BY543" s="168"/>
    </row>
    <row r="544" spans="55:77" ht="13.5">
      <c r="BC544" s="177"/>
      <c r="BH544" s="172"/>
      <c r="BY544" s="168"/>
    </row>
    <row r="545" spans="55:77" ht="13.5">
      <c r="BC545" s="177"/>
      <c r="BH545" s="172"/>
      <c r="BY545" s="168"/>
    </row>
    <row r="546" spans="55:77" ht="13.5">
      <c r="BC546" s="177"/>
      <c r="BH546" s="172"/>
      <c r="BY546" s="168"/>
    </row>
    <row r="547" spans="55:77" ht="13.5">
      <c r="BC547" s="177"/>
      <c r="BH547" s="172"/>
      <c r="BY547" s="168"/>
    </row>
    <row r="548" spans="55:77" ht="13.5">
      <c r="BC548" s="177"/>
      <c r="BH548" s="172"/>
      <c r="BY548" s="168"/>
    </row>
    <row r="549" spans="55:77" ht="13.5">
      <c r="BC549" s="177"/>
      <c r="BH549" s="172"/>
      <c r="BY549" s="168"/>
    </row>
    <row r="550" spans="55:77" ht="13.5">
      <c r="BC550" s="177"/>
      <c r="BH550" s="172"/>
      <c r="BY550" s="168"/>
    </row>
    <row r="551" spans="55:77" ht="13.5">
      <c r="BC551" s="177"/>
      <c r="BH551" s="172"/>
      <c r="BY551" s="168"/>
    </row>
    <row r="552" spans="55:77" ht="13.5">
      <c r="BC552" s="177"/>
      <c r="BH552" s="172"/>
      <c r="BY552" s="168"/>
    </row>
    <row r="553" spans="55:77" ht="13.5">
      <c r="BC553" s="177"/>
      <c r="BH553" s="172"/>
      <c r="BY553" s="168"/>
    </row>
    <row r="554" spans="55:77" ht="13.5">
      <c r="BC554" s="177"/>
      <c r="BH554" s="172"/>
      <c r="BY554" s="168"/>
    </row>
    <row r="555" spans="55:77" ht="13.5">
      <c r="BC555" s="177"/>
      <c r="BH555" s="172"/>
      <c r="BY555" s="168"/>
    </row>
    <row r="556" spans="55:77" ht="13.5">
      <c r="BC556" s="177"/>
      <c r="BH556" s="172"/>
      <c r="BY556" s="168"/>
    </row>
    <row r="557" spans="55:77" ht="13.5">
      <c r="BC557" s="177"/>
      <c r="BH557" s="172"/>
      <c r="BY557" s="168"/>
    </row>
    <row r="558" spans="55:77" ht="13.5">
      <c r="BC558" s="177"/>
      <c r="BH558" s="172"/>
      <c r="BY558" s="168"/>
    </row>
    <row r="559" spans="55:77" ht="13.5">
      <c r="BC559" s="177"/>
      <c r="BH559" s="172"/>
      <c r="BY559" s="168"/>
    </row>
    <row r="560" spans="55:77" ht="13.5">
      <c r="BC560" s="177"/>
      <c r="BH560" s="172"/>
      <c r="BY560" s="168"/>
    </row>
    <row r="561" spans="55:77" ht="13.5">
      <c r="BC561" s="177"/>
      <c r="BH561" s="172"/>
      <c r="BY561" s="168"/>
    </row>
    <row r="562" spans="55:77" ht="13.5">
      <c r="BC562" s="177"/>
      <c r="BH562" s="172"/>
      <c r="BY562" s="168"/>
    </row>
    <row r="563" spans="55:77" ht="13.5">
      <c r="BC563" s="177"/>
      <c r="BH563" s="172"/>
      <c r="BY563" s="168"/>
    </row>
    <row r="564" spans="55:77" ht="13.5">
      <c r="BC564" s="177"/>
      <c r="BH564" s="172"/>
      <c r="BY564" s="168"/>
    </row>
    <row r="565" spans="55:77" ht="13.5">
      <c r="BC565" s="177"/>
      <c r="BH565" s="172"/>
      <c r="BY565" s="168"/>
    </row>
    <row r="566" spans="55:77" ht="13.5">
      <c r="BC566" s="177"/>
      <c r="BH566" s="172"/>
      <c r="BY566" s="168"/>
    </row>
    <row r="567" spans="55:77" ht="13.5">
      <c r="BC567" s="177"/>
      <c r="BH567" s="172"/>
      <c r="BY567" s="168"/>
    </row>
    <row r="568" spans="55:77" ht="13.5">
      <c r="BC568" s="177"/>
      <c r="BH568" s="172"/>
      <c r="BY568" s="168"/>
    </row>
    <row r="569" spans="55:77" ht="13.5">
      <c r="BC569" s="177"/>
      <c r="BH569" s="172"/>
      <c r="BY569" s="168"/>
    </row>
    <row r="570" spans="55:77" ht="13.5">
      <c r="BC570" s="177"/>
      <c r="BH570" s="172"/>
      <c r="BY570" s="168"/>
    </row>
    <row r="571" spans="55:77" ht="13.5">
      <c r="BC571" s="177"/>
      <c r="BH571" s="172"/>
      <c r="BY571" s="168"/>
    </row>
    <row r="572" spans="55:77" ht="13.5">
      <c r="BC572" s="177"/>
      <c r="BH572" s="172"/>
      <c r="BY572" s="168"/>
    </row>
    <row r="573" spans="55:77" ht="13.5">
      <c r="BC573" s="177"/>
      <c r="BH573" s="172"/>
      <c r="BY573" s="168"/>
    </row>
    <row r="574" spans="55:77" ht="13.5">
      <c r="BC574" s="177"/>
      <c r="BH574" s="172"/>
      <c r="BY574" s="168"/>
    </row>
    <row r="575" spans="55:77" ht="13.5">
      <c r="BC575" s="177"/>
      <c r="BH575" s="172"/>
      <c r="BY575" s="168"/>
    </row>
    <row r="576" spans="55:77" ht="13.5">
      <c r="BC576" s="177"/>
      <c r="BH576" s="172"/>
      <c r="BY576" s="168"/>
    </row>
    <row r="577" spans="55:77" ht="13.5">
      <c r="BC577" s="177"/>
      <c r="BH577" s="172"/>
      <c r="BY577" s="168"/>
    </row>
    <row r="578" spans="55:77" ht="13.5">
      <c r="BC578" s="177"/>
      <c r="BH578" s="172"/>
      <c r="BY578" s="168"/>
    </row>
    <row r="579" spans="55:77" ht="13.5">
      <c r="BC579" s="177"/>
      <c r="BH579" s="172"/>
      <c r="BY579" s="168"/>
    </row>
    <row r="580" spans="55:77" ht="13.5">
      <c r="BC580" s="177"/>
      <c r="BH580" s="172"/>
      <c r="BY580" s="168"/>
    </row>
    <row r="581" spans="55:77" ht="13.5">
      <c r="BC581" s="177"/>
      <c r="BH581" s="172"/>
      <c r="BY581" s="168"/>
    </row>
    <row r="582" spans="55:77" ht="13.5">
      <c r="BC582" s="177"/>
      <c r="BH582" s="172"/>
      <c r="BY582" s="168"/>
    </row>
    <row r="583" spans="55:77" ht="13.5">
      <c r="BC583" s="177"/>
      <c r="BH583" s="172"/>
      <c r="BY583" s="168"/>
    </row>
    <row r="584" spans="55:77" ht="13.5">
      <c r="BC584" s="177"/>
      <c r="BH584" s="172"/>
      <c r="BY584" s="168"/>
    </row>
    <row r="585" spans="55:77" ht="13.5">
      <c r="BC585" s="177"/>
      <c r="BH585" s="172"/>
      <c r="BY585" s="168"/>
    </row>
    <row r="586" spans="55:77" ht="13.5">
      <c r="BC586" s="177"/>
      <c r="BH586" s="172"/>
      <c r="BY586" s="168"/>
    </row>
    <row r="587" spans="55:77" ht="13.5">
      <c r="BC587" s="177"/>
      <c r="BH587" s="172"/>
      <c r="BY587" s="168"/>
    </row>
    <row r="588" spans="55:77" ht="13.5">
      <c r="BC588" s="177"/>
      <c r="BH588" s="172"/>
      <c r="BY588" s="168"/>
    </row>
    <row r="589" spans="55:77" ht="13.5">
      <c r="BC589" s="177"/>
      <c r="BH589" s="172"/>
      <c r="BY589" s="168"/>
    </row>
    <row r="590" spans="55:77" ht="13.5">
      <c r="BC590" s="177"/>
      <c r="BH590" s="172"/>
      <c r="BY590" s="168"/>
    </row>
    <row r="591" spans="55:77" ht="13.5">
      <c r="BC591" s="177"/>
      <c r="BH591" s="172"/>
      <c r="BY591" s="168"/>
    </row>
    <row r="592" spans="55:77" ht="13.5">
      <c r="BC592" s="177"/>
      <c r="BH592" s="172"/>
      <c r="BY592" s="168"/>
    </row>
    <row r="593" spans="55:77" ht="13.5">
      <c r="BC593" s="177"/>
      <c r="BH593" s="172"/>
      <c r="BY593" s="168"/>
    </row>
    <row r="594" spans="55:77" ht="13.5">
      <c r="BC594" s="177"/>
      <c r="BH594" s="172"/>
      <c r="BY594" s="168"/>
    </row>
    <row r="595" spans="55:77" ht="13.5">
      <c r="BC595" s="177"/>
      <c r="BH595" s="172"/>
      <c r="BY595" s="168"/>
    </row>
    <row r="596" spans="55:77" ht="13.5">
      <c r="BC596" s="177"/>
      <c r="BH596" s="172"/>
      <c r="BY596" s="168"/>
    </row>
    <row r="597" spans="55:77" ht="13.5">
      <c r="BC597" s="177"/>
      <c r="BH597" s="172"/>
      <c r="BY597" s="168"/>
    </row>
    <row r="598" spans="55:77" ht="13.5">
      <c r="BC598" s="177"/>
      <c r="BH598" s="172"/>
      <c r="BY598" s="168"/>
    </row>
    <row r="599" spans="55:77" ht="13.5">
      <c r="BC599" s="177"/>
      <c r="BH599" s="172"/>
      <c r="BY599" s="168"/>
    </row>
    <row r="600" spans="55:77" ht="13.5">
      <c r="BC600" s="177"/>
      <c r="BH600" s="172"/>
      <c r="BY600" s="168"/>
    </row>
    <row r="601" spans="55:77" ht="13.5">
      <c r="BC601" s="177"/>
      <c r="BH601" s="172"/>
      <c r="BY601" s="168"/>
    </row>
    <row r="602" spans="55:77" ht="13.5">
      <c r="BC602" s="177"/>
      <c r="BH602" s="172"/>
      <c r="BY602" s="168"/>
    </row>
    <row r="603" spans="55:77" ht="13.5">
      <c r="BC603" s="177"/>
      <c r="BH603" s="172"/>
      <c r="BY603" s="168"/>
    </row>
    <row r="604" spans="55:77" ht="13.5">
      <c r="BC604" s="177"/>
      <c r="BH604" s="172"/>
      <c r="BY604" s="168"/>
    </row>
    <row r="605" spans="55:77" ht="13.5">
      <c r="BC605" s="177"/>
      <c r="BH605" s="172"/>
      <c r="BY605" s="168"/>
    </row>
    <row r="606" spans="55:77" ht="13.5">
      <c r="BC606" s="177"/>
      <c r="BH606" s="172"/>
      <c r="BY606" s="168"/>
    </row>
    <row r="607" spans="55:77" ht="13.5">
      <c r="BC607" s="177"/>
      <c r="BH607" s="172"/>
      <c r="BY607" s="168"/>
    </row>
    <row r="608" spans="55:77" ht="13.5">
      <c r="BC608" s="177"/>
      <c r="BH608" s="172"/>
      <c r="BY608" s="168"/>
    </row>
    <row r="609" spans="55:77" ht="13.5">
      <c r="BC609" s="177"/>
      <c r="BH609" s="172"/>
      <c r="BY609" s="168"/>
    </row>
    <row r="610" spans="55:77" ht="13.5">
      <c r="BC610" s="177"/>
      <c r="BH610" s="172"/>
      <c r="BY610" s="168"/>
    </row>
    <row r="611" spans="55:77" ht="13.5">
      <c r="BC611" s="177"/>
      <c r="BH611" s="172"/>
      <c r="BY611" s="168"/>
    </row>
    <row r="612" spans="55:77" ht="13.5">
      <c r="BC612" s="177"/>
      <c r="BH612" s="172"/>
      <c r="BY612" s="168"/>
    </row>
    <row r="613" spans="55:77" ht="13.5">
      <c r="BC613" s="177"/>
      <c r="BH613" s="172"/>
      <c r="BY613" s="168"/>
    </row>
    <row r="614" spans="55:77" ht="13.5">
      <c r="BC614" s="177"/>
      <c r="BH614" s="172"/>
      <c r="BY614" s="168"/>
    </row>
    <row r="615" spans="55:77" ht="13.5">
      <c r="BC615" s="177"/>
      <c r="BH615" s="172"/>
      <c r="BY615" s="168"/>
    </row>
    <row r="616" spans="55:77" ht="13.5">
      <c r="BC616" s="177"/>
      <c r="BH616" s="172"/>
      <c r="BY616" s="168"/>
    </row>
    <row r="617" spans="55:77" ht="13.5">
      <c r="BC617" s="177"/>
      <c r="BH617" s="172"/>
      <c r="BY617" s="168"/>
    </row>
    <row r="618" spans="55:77" ht="13.5">
      <c r="BC618" s="177"/>
      <c r="BH618" s="172"/>
      <c r="BY618" s="168"/>
    </row>
    <row r="619" spans="55:77" ht="13.5">
      <c r="BC619" s="177"/>
      <c r="BH619" s="172"/>
      <c r="BY619" s="168"/>
    </row>
    <row r="620" spans="55:77" ht="13.5">
      <c r="BC620" s="177"/>
      <c r="BH620" s="172"/>
      <c r="BY620" s="168"/>
    </row>
    <row r="621" spans="55:77" ht="13.5">
      <c r="BC621" s="177"/>
      <c r="BH621" s="172"/>
      <c r="BY621" s="168"/>
    </row>
    <row r="622" spans="55:77" ht="13.5">
      <c r="BC622" s="177"/>
      <c r="BH622" s="172"/>
      <c r="BY622" s="168"/>
    </row>
    <row r="623" spans="55:77" ht="13.5">
      <c r="BC623" s="177"/>
      <c r="BH623" s="172"/>
      <c r="BY623" s="168"/>
    </row>
    <row r="624" spans="55:77" ht="13.5">
      <c r="BC624" s="177"/>
      <c r="BH624" s="172"/>
      <c r="BY624" s="168"/>
    </row>
    <row r="625" spans="55:77" ht="13.5">
      <c r="BC625" s="177"/>
      <c r="BH625" s="172"/>
      <c r="BY625" s="168"/>
    </row>
    <row r="626" spans="55:77" ht="13.5">
      <c r="BC626" s="177"/>
      <c r="BH626" s="172"/>
      <c r="BY626" s="168"/>
    </row>
    <row r="627" spans="55:77" ht="13.5">
      <c r="BC627" s="177"/>
      <c r="BH627" s="172"/>
      <c r="BY627" s="168"/>
    </row>
    <row r="628" spans="55:77" ht="13.5">
      <c r="BC628" s="177"/>
      <c r="BH628" s="172"/>
      <c r="BY628" s="168"/>
    </row>
    <row r="629" spans="55:77" ht="13.5">
      <c r="BC629" s="177"/>
      <c r="BH629" s="172"/>
      <c r="BY629" s="168"/>
    </row>
    <row r="630" spans="55:77" ht="13.5">
      <c r="BC630" s="177"/>
      <c r="BH630" s="172"/>
      <c r="BY630" s="168"/>
    </row>
    <row r="631" spans="55:77" ht="13.5">
      <c r="BC631" s="177"/>
      <c r="BH631" s="172"/>
      <c r="BY631" s="168"/>
    </row>
    <row r="632" spans="55:77" ht="13.5">
      <c r="BC632" s="177"/>
      <c r="BH632" s="172"/>
      <c r="BY632" s="168"/>
    </row>
    <row r="633" spans="55:77" ht="13.5">
      <c r="BC633" s="177"/>
      <c r="BH633" s="172"/>
      <c r="BY633" s="168"/>
    </row>
    <row r="634" spans="55:77" ht="13.5">
      <c r="BC634" s="177"/>
      <c r="BH634" s="172"/>
      <c r="BY634" s="168"/>
    </row>
    <row r="635" spans="55:77" ht="13.5">
      <c r="BC635" s="177"/>
      <c r="BH635" s="172"/>
      <c r="BY635" s="168"/>
    </row>
    <row r="636" spans="55:77" ht="13.5">
      <c r="BC636" s="177"/>
      <c r="BH636" s="172"/>
      <c r="BY636" s="168"/>
    </row>
    <row r="637" spans="55:77" ht="13.5">
      <c r="BC637" s="177"/>
      <c r="BH637" s="172"/>
      <c r="BY637" s="168"/>
    </row>
    <row r="638" spans="55:77" ht="13.5">
      <c r="BC638" s="177"/>
      <c r="BH638" s="172"/>
      <c r="BY638" s="168"/>
    </row>
    <row r="639" spans="55:77" ht="13.5">
      <c r="BC639" s="177"/>
      <c r="BH639" s="172"/>
      <c r="BY639" s="168"/>
    </row>
    <row r="640" spans="55:77" ht="13.5">
      <c r="BC640" s="177"/>
      <c r="BH640" s="172"/>
      <c r="BY640" s="168"/>
    </row>
    <row r="641" spans="55:77" ht="13.5">
      <c r="BC641" s="177"/>
      <c r="BH641" s="172"/>
      <c r="BY641" s="168"/>
    </row>
    <row r="642" spans="55:77" ht="13.5">
      <c r="BC642" s="177"/>
      <c r="BH642" s="172"/>
      <c r="BY642" s="168"/>
    </row>
  </sheetData>
  <sheetProtection/>
  <mergeCells count="3">
    <mergeCell ref="C17:D18"/>
    <mergeCell ref="E17:H17"/>
    <mergeCell ref="I17:L17"/>
  </mergeCells>
  <dataValidations count="6">
    <dataValidation allowBlank="1" showInputMessage="1" showErrorMessage="1" promptTitle="accepts" prompt="the number of applicants that accepted a place at an institution" sqref="F18"/>
    <dataValidation allowBlank="1" showInputMessage="1" showErrorMessage="1" promptTitle="choices" prompt="the number of choices through the mainscheme, these are the applications listed in the application form" sqref="I18"/>
    <dataValidation allowBlank="1" showInputMessage="1" showErrorMessage="1" promptTitle="% total accepts" prompt="percentage acceptances" sqref="G18 K18"/>
    <dataValidation allowBlank="1" showInputMessage="1" showErrorMessage="1" promptTitle="choices" prompt="the number of choices made by your applicants through the mainscheme - these are the applications listed in the application form" sqref="E18"/>
    <dataValidation allowBlank="1" showInputMessage="1" showErrorMessage="1" promptTitle="choice:acc ratio" prompt="a ratio showing the number of applications to the number of acceptances for your centre's applicants (choices divided by accepts)" sqref="H18 L18"/>
    <dataValidation allowBlank="1" showInputMessage="1" showErrorMessage="1" promptTitle="accepts" prompt="the number of UCAS applicants that accepted a place at an institution" sqref="J18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3"/>
  <colBreaks count="1" manualBreakCount="1">
    <brk id="13" max="44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theme="0"/>
  </sheetPr>
  <dimension ref="B3:U56"/>
  <sheetViews>
    <sheetView showGridLines="0" showRowColHeaders="0" zoomScalePageLayoutView="0" workbookViewId="0" topLeftCell="A1">
      <selection activeCell="B7" sqref="B7"/>
    </sheetView>
  </sheetViews>
  <sheetFormatPr defaultColWidth="9.140625" defaultRowHeight="12.75"/>
  <cols>
    <col min="1" max="1" width="7.140625" style="1" customWidth="1"/>
    <col min="2" max="3" width="16.28125" style="3" customWidth="1"/>
    <col min="4" max="4" width="31.7109375" style="3" customWidth="1"/>
    <col min="5" max="5" width="9.00390625" style="3" customWidth="1"/>
    <col min="6" max="8" width="13.140625" style="3" customWidth="1"/>
    <col min="9" max="9" width="26.140625" style="3" customWidth="1"/>
    <col min="10" max="10" width="13.140625" style="3" customWidth="1"/>
    <col min="11" max="11" width="18.140625" style="3" bestFit="1" customWidth="1"/>
    <col min="12" max="12" width="18.8515625" style="3" bestFit="1" customWidth="1"/>
    <col min="13" max="13" width="19.57421875" style="3" bestFit="1" customWidth="1"/>
    <col min="14" max="14" width="29.140625" style="3" bestFit="1" customWidth="1"/>
    <col min="15" max="15" width="27.28125" style="3" bestFit="1" customWidth="1"/>
    <col min="16" max="16" width="21.140625" style="3" bestFit="1" customWidth="1"/>
    <col min="17" max="17" width="20.140625" style="3" bestFit="1" customWidth="1"/>
    <col min="18" max="18" width="17.28125" style="3" customWidth="1"/>
    <col min="19" max="19" width="13.57421875" style="3" customWidth="1"/>
    <col min="20" max="20" width="15.28125" style="3" bestFit="1" customWidth="1"/>
    <col min="21" max="21" width="15.140625" style="3" bestFit="1" customWidth="1"/>
    <col min="22" max="16384" width="9.140625" style="3" customWidth="1"/>
  </cols>
  <sheetData>
    <row r="1" s="1" customFormat="1" ht="12.75"/>
    <row r="2" s="1" customFormat="1" ht="12.75"/>
    <row r="3" s="1" customFormat="1" ht="15">
      <c r="B3" s="166" t="s">
        <v>274</v>
      </c>
    </row>
    <row r="4" s="1" customFormat="1" ht="12.75"/>
    <row r="5" spans="12:17" s="1" customFormat="1" ht="12.75">
      <c r="L5" s="2"/>
      <c r="M5" s="2"/>
      <c r="N5" s="2"/>
      <c r="O5" s="2"/>
      <c r="Q5" s="3"/>
    </row>
    <row r="6" s="1" customFormat="1" ht="12.75">
      <c r="G6" s="3"/>
    </row>
    <row r="7" spans="2:21" s="1" customFormat="1" ht="13.5">
      <c r="B7" s="45" t="s">
        <v>1631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s="1" customFormat="1" ht="13.5">
      <c r="B9" s="76" t="s">
        <v>279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s="1" customFormat="1" ht="13.5">
      <c r="B10" s="266" t="s">
        <v>74</v>
      </c>
      <c r="C10" s="266" t="s">
        <v>75</v>
      </c>
      <c r="D10" s="266" t="s">
        <v>273</v>
      </c>
      <c r="E10" s="266" t="s">
        <v>77</v>
      </c>
      <c r="F10" s="266" t="s">
        <v>76</v>
      </c>
      <c r="G10" s="266" t="s">
        <v>78</v>
      </c>
      <c r="H10" s="266" t="s">
        <v>79</v>
      </c>
      <c r="I10" s="266" t="s">
        <v>68</v>
      </c>
      <c r="J10" s="266" t="s">
        <v>80</v>
      </c>
      <c r="K10" s="266" t="s">
        <v>1031</v>
      </c>
      <c r="L10" s="266" t="s">
        <v>341</v>
      </c>
      <c r="M10" s="266" t="s">
        <v>1032</v>
      </c>
      <c r="N10" s="266" t="s">
        <v>342</v>
      </c>
      <c r="O10" s="266" t="s">
        <v>343</v>
      </c>
      <c r="P10" s="266" t="s">
        <v>344</v>
      </c>
      <c r="Q10" s="266" t="s">
        <v>345</v>
      </c>
      <c r="R10" s="266" t="s">
        <v>346</v>
      </c>
      <c r="S10" s="266" t="s">
        <v>347</v>
      </c>
      <c r="T10" s="267" t="s">
        <v>348</v>
      </c>
      <c r="U10" s="266" t="s">
        <v>282</v>
      </c>
    </row>
    <row r="11" spans="2:21" ht="13.5">
      <c r="B11" s="6" t="s">
        <v>995</v>
      </c>
      <c r="C11" s="6" t="s">
        <v>996</v>
      </c>
      <c r="D11" s="263" t="s">
        <v>936</v>
      </c>
      <c r="E11" s="264">
        <v>19</v>
      </c>
      <c r="F11" s="264" t="s">
        <v>414</v>
      </c>
      <c r="G11" s="264">
        <v>530</v>
      </c>
      <c r="H11" s="264" t="s">
        <v>443</v>
      </c>
      <c r="I11" s="264" t="s">
        <v>416</v>
      </c>
      <c r="J11" s="264" t="s">
        <v>922</v>
      </c>
      <c r="K11" s="264" t="s">
        <v>435</v>
      </c>
      <c r="L11" s="264" t="s">
        <v>436</v>
      </c>
      <c r="M11" s="264" t="s">
        <v>419</v>
      </c>
      <c r="N11" s="265" t="s">
        <v>420</v>
      </c>
      <c r="O11" s="265" t="s">
        <v>421</v>
      </c>
      <c r="P11" s="264" t="s">
        <v>437</v>
      </c>
      <c r="Q11" s="264" t="s">
        <v>438</v>
      </c>
      <c r="R11" s="264" t="s">
        <v>424</v>
      </c>
      <c r="S11" s="264" t="s">
        <v>425</v>
      </c>
      <c r="T11" s="265">
        <v>1</v>
      </c>
      <c r="U11" s="265">
        <v>1</v>
      </c>
    </row>
    <row r="12" spans="2:21" ht="13.5">
      <c r="B12" s="263" t="s">
        <v>154</v>
      </c>
      <c r="C12" s="263" t="s">
        <v>155</v>
      </c>
      <c r="D12" s="263" t="s">
        <v>937</v>
      </c>
      <c r="E12" s="264">
        <v>19</v>
      </c>
      <c r="F12" s="264" t="s">
        <v>414</v>
      </c>
      <c r="G12" s="264">
        <v>100</v>
      </c>
      <c r="H12" s="264" t="s">
        <v>415</v>
      </c>
      <c r="I12" s="264" t="s">
        <v>416</v>
      </c>
      <c r="J12" s="264" t="s">
        <v>923</v>
      </c>
      <c r="K12" s="264" t="s">
        <v>450</v>
      </c>
      <c r="L12" s="264" t="s">
        <v>451</v>
      </c>
      <c r="M12" s="264" t="s">
        <v>428</v>
      </c>
      <c r="N12" s="265" t="s">
        <v>470</v>
      </c>
      <c r="O12" s="265" t="s">
        <v>471</v>
      </c>
      <c r="P12" s="264" t="s">
        <v>472</v>
      </c>
      <c r="Q12" s="264" t="s">
        <v>473</v>
      </c>
      <c r="R12" s="264" t="s">
        <v>424</v>
      </c>
      <c r="S12" s="264" t="s">
        <v>474</v>
      </c>
      <c r="T12" s="265">
        <v>1</v>
      </c>
      <c r="U12" s="265">
        <v>1</v>
      </c>
    </row>
    <row r="13" spans="2:21" ht="13.5">
      <c r="B13" s="263" t="s">
        <v>150</v>
      </c>
      <c r="C13" s="263" t="s">
        <v>151</v>
      </c>
      <c r="D13" s="263" t="s">
        <v>938</v>
      </c>
      <c r="E13" s="264">
        <v>18</v>
      </c>
      <c r="F13" s="264" t="s">
        <v>442</v>
      </c>
      <c r="G13" s="264">
        <v>360</v>
      </c>
      <c r="H13" s="264" t="s">
        <v>475</v>
      </c>
      <c r="I13" s="264" t="s">
        <v>416</v>
      </c>
      <c r="J13" s="264" t="s">
        <v>924</v>
      </c>
      <c r="K13" s="264" t="s">
        <v>491</v>
      </c>
      <c r="L13" s="264" t="s">
        <v>492</v>
      </c>
      <c r="M13" s="264" t="s">
        <v>493</v>
      </c>
      <c r="N13" s="265" t="s">
        <v>476</v>
      </c>
      <c r="O13" s="265" t="s">
        <v>477</v>
      </c>
      <c r="P13" s="264" t="s">
        <v>478</v>
      </c>
      <c r="Q13" s="264" t="s">
        <v>479</v>
      </c>
      <c r="R13" s="264" t="s">
        <v>424</v>
      </c>
      <c r="S13" s="264" t="s">
        <v>474</v>
      </c>
      <c r="T13" s="265">
        <v>1</v>
      </c>
      <c r="U13" s="265">
        <v>1</v>
      </c>
    </row>
    <row r="14" spans="2:21" ht="13.5">
      <c r="B14" s="263" t="s">
        <v>152</v>
      </c>
      <c r="C14" s="263" t="s">
        <v>153</v>
      </c>
      <c r="D14" s="263" t="s">
        <v>939</v>
      </c>
      <c r="E14" s="264">
        <v>18</v>
      </c>
      <c r="F14" s="264" t="s">
        <v>442</v>
      </c>
      <c r="G14" s="264">
        <v>320</v>
      </c>
      <c r="H14" s="264" t="s">
        <v>415</v>
      </c>
      <c r="I14" s="264" t="s">
        <v>416</v>
      </c>
      <c r="J14" s="264" t="s">
        <v>925</v>
      </c>
      <c r="K14" s="264"/>
      <c r="L14" s="264"/>
      <c r="M14" s="264"/>
      <c r="N14" s="265"/>
      <c r="O14" s="265"/>
      <c r="P14" s="264"/>
      <c r="Q14" s="264"/>
      <c r="R14" s="264"/>
      <c r="S14" s="264"/>
      <c r="T14" s="265">
        <v>1</v>
      </c>
      <c r="U14" s="265">
        <v>0</v>
      </c>
    </row>
    <row r="15" spans="2:21" ht="13.5">
      <c r="B15" s="263" t="s">
        <v>156</v>
      </c>
      <c r="C15" s="263" t="s">
        <v>157</v>
      </c>
      <c r="D15" s="263" t="s">
        <v>940</v>
      </c>
      <c r="E15" s="264">
        <v>18</v>
      </c>
      <c r="F15" s="264" t="s">
        <v>442</v>
      </c>
      <c r="G15" s="264">
        <v>380</v>
      </c>
      <c r="H15" s="264" t="s">
        <v>415</v>
      </c>
      <c r="I15" s="264" t="s">
        <v>416</v>
      </c>
      <c r="J15" s="264" t="s">
        <v>926</v>
      </c>
      <c r="K15" s="264" t="s">
        <v>521</v>
      </c>
      <c r="L15" s="264" t="s">
        <v>522</v>
      </c>
      <c r="M15" s="264" t="s">
        <v>493</v>
      </c>
      <c r="N15" s="265" t="s">
        <v>476</v>
      </c>
      <c r="O15" s="265" t="s">
        <v>523</v>
      </c>
      <c r="P15" s="264" t="s">
        <v>524</v>
      </c>
      <c r="Q15" s="264" t="s">
        <v>525</v>
      </c>
      <c r="R15" s="264" t="s">
        <v>424</v>
      </c>
      <c r="S15" s="264" t="s">
        <v>425</v>
      </c>
      <c r="T15" s="265">
        <v>1</v>
      </c>
      <c r="U15" s="265">
        <v>1</v>
      </c>
    </row>
    <row r="16" spans="2:21" ht="13.5">
      <c r="B16" s="263" t="s">
        <v>158</v>
      </c>
      <c r="C16" s="263" t="s">
        <v>159</v>
      </c>
      <c r="D16" s="263" t="s">
        <v>941</v>
      </c>
      <c r="E16" s="264">
        <v>18</v>
      </c>
      <c r="F16" s="264" t="s">
        <v>414</v>
      </c>
      <c r="G16" s="264">
        <v>350</v>
      </c>
      <c r="H16" s="264" t="s">
        <v>415</v>
      </c>
      <c r="I16" s="264" t="s">
        <v>416</v>
      </c>
      <c r="J16" s="264" t="s">
        <v>927</v>
      </c>
      <c r="K16" s="264" t="s">
        <v>537</v>
      </c>
      <c r="L16" s="264" t="s">
        <v>340</v>
      </c>
      <c r="M16" s="264" t="s">
        <v>538</v>
      </c>
      <c r="N16" s="265" t="s">
        <v>452</v>
      </c>
      <c r="O16" s="265" t="s">
        <v>467</v>
      </c>
      <c r="P16" s="264" t="s">
        <v>539</v>
      </c>
      <c r="Q16" s="264" t="s">
        <v>540</v>
      </c>
      <c r="R16" s="264" t="s">
        <v>424</v>
      </c>
      <c r="S16" s="264" t="s">
        <v>425</v>
      </c>
      <c r="T16" s="265">
        <v>1</v>
      </c>
      <c r="U16" s="265">
        <v>1</v>
      </c>
    </row>
    <row r="17" spans="2:21" ht="13.5">
      <c r="B17" s="263" t="s">
        <v>160</v>
      </c>
      <c r="C17" s="263" t="s">
        <v>161</v>
      </c>
      <c r="D17" s="263" t="s">
        <v>942</v>
      </c>
      <c r="E17" s="264">
        <v>18</v>
      </c>
      <c r="F17" s="264" t="s">
        <v>442</v>
      </c>
      <c r="G17" s="264">
        <v>600</v>
      </c>
      <c r="H17" s="264" t="s">
        <v>415</v>
      </c>
      <c r="I17" s="264" t="s">
        <v>416</v>
      </c>
      <c r="J17" s="264" t="s">
        <v>928</v>
      </c>
      <c r="K17" s="264" t="s">
        <v>558</v>
      </c>
      <c r="L17" s="264" t="s">
        <v>559</v>
      </c>
      <c r="M17" s="264" t="s">
        <v>493</v>
      </c>
      <c r="N17" s="265" t="s">
        <v>549</v>
      </c>
      <c r="O17" s="265" t="s">
        <v>550</v>
      </c>
      <c r="P17" s="264" t="s">
        <v>560</v>
      </c>
      <c r="Q17" s="264" t="s">
        <v>561</v>
      </c>
      <c r="R17" s="264" t="s">
        <v>424</v>
      </c>
      <c r="S17" s="264" t="s">
        <v>425</v>
      </c>
      <c r="T17" s="265">
        <v>1</v>
      </c>
      <c r="U17" s="265">
        <v>1</v>
      </c>
    </row>
    <row r="18" spans="2:21" ht="13.5">
      <c r="B18" s="263" t="s">
        <v>974</v>
      </c>
      <c r="C18" s="263" t="s">
        <v>975</v>
      </c>
      <c r="D18" s="263" t="s">
        <v>943</v>
      </c>
      <c r="E18" s="264">
        <v>18</v>
      </c>
      <c r="F18" s="264" t="s">
        <v>414</v>
      </c>
      <c r="G18" s="264">
        <v>350</v>
      </c>
      <c r="H18" s="264" t="s">
        <v>415</v>
      </c>
      <c r="I18" s="264" t="s">
        <v>416</v>
      </c>
      <c r="J18" s="264" t="s">
        <v>929</v>
      </c>
      <c r="K18" s="264" t="s">
        <v>530</v>
      </c>
      <c r="L18" s="264" t="s">
        <v>531</v>
      </c>
      <c r="M18" s="264" t="s">
        <v>428</v>
      </c>
      <c r="N18" s="265" t="s">
        <v>567</v>
      </c>
      <c r="O18" s="265" t="s">
        <v>568</v>
      </c>
      <c r="P18" s="264" t="s">
        <v>578</v>
      </c>
      <c r="Q18" s="264" t="s">
        <v>579</v>
      </c>
      <c r="R18" s="264" t="s">
        <v>424</v>
      </c>
      <c r="S18" s="264" t="s">
        <v>425</v>
      </c>
      <c r="T18" s="265">
        <v>1</v>
      </c>
      <c r="U18" s="265">
        <v>1</v>
      </c>
    </row>
    <row r="19" spans="2:21" ht="13.5">
      <c r="B19" s="263" t="s">
        <v>997</v>
      </c>
      <c r="C19" s="263" t="s">
        <v>996</v>
      </c>
      <c r="D19" s="263" t="s">
        <v>944</v>
      </c>
      <c r="E19" s="264">
        <v>19</v>
      </c>
      <c r="F19" s="264" t="s">
        <v>442</v>
      </c>
      <c r="G19" s="264">
        <v>166</v>
      </c>
      <c r="H19" s="264" t="s">
        <v>443</v>
      </c>
      <c r="I19" s="264" t="s">
        <v>416</v>
      </c>
      <c r="J19" s="264" t="s">
        <v>930</v>
      </c>
      <c r="K19" s="264"/>
      <c r="L19" s="264"/>
      <c r="M19" s="264"/>
      <c r="N19" s="265"/>
      <c r="O19" s="265"/>
      <c r="P19" s="264"/>
      <c r="Q19" s="264"/>
      <c r="R19" s="264"/>
      <c r="S19" s="264"/>
      <c r="T19" s="265">
        <v>1</v>
      </c>
      <c r="U19" s="265">
        <v>0</v>
      </c>
    </row>
    <row r="20" spans="2:21" ht="13.5">
      <c r="B20" s="263" t="s">
        <v>978</v>
      </c>
      <c r="C20" s="263" t="s">
        <v>979</v>
      </c>
      <c r="D20" s="263" t="s">
        <v>945</v>
      </c>
      <c r="E20" s="264">
        <v>18</v>
      </c>
      <c r="F20" s="264" t="s">
        <v>442</v>
      </c>
      <c r="G20" s="264">
        <v>480</v>
      </c>
      <c r="H20" s="264" t="s">
        <v>415</v>
      </c>
      <c r="I20" s="264" t="s">
        <v>416</v>
      </c>
      <c r="J20" s="264" t="s">
        <v>931</v>
      </c>
      <c r="K20" s="264" t="s">
        <v>426</v>
      </c>
      <c r="L20" s="264" t="s">
        <v>427</v>
      </c>
      <c r="M20" s="264" t="s">
        <v>428</v>
      </c>
      <c r="N20" s="265" t="s">
        <v>587</v>
      </c>
      <c r="O20" s="265" t="s">
        <v>588</v>
      </c>
      <c r="P20" s="264" t="s">
        <v>589</v>
      </c>
      <c r="Q20" s="264" t="s">
        <v>590</v>
      </c>
      <c r="R20" s="264" t="s">
        <v>424</v>
      </c>
      <c r="S20" s="264" t="s">
        <v>425</v>
      </c>
      <c r="T20" s="265">
        <v>1</v>
      </c>
      <c r="U20" s="265">
        <v>1</v>
      </c>
    </row>
    <row r="21" spans="2:21" ht="13.5">
      <c r="B21" s="263" t="s">
        <v>980</v>
      </c>
      <c r="C21" s="263" t="s">
        <v>981</v>
      </c>
      <c r="D21" s="263" t="s">
        <v>946</v>
      </c>
      <c r="E21" s="264">
        <v>18</v>
      </c>
      <c r="F21" s="264" t="s">
        <v>442</v>
      </c>
      <c r="G21" s="264">
        <v>320</v>
      </c>
      <c r="H21" s="264" t="s">
        <v>415</v>
      </c>
      <c r="I21" s="264" t="s">
        <v>416</v>
      </c>
      <c r="J21" s="264" t="s">
        <v>932</v>
      </c>
      <c r="K21" s="264" t="s">
        <v>605</v>
      </c>
      <c r="L21" s="264" t="s">
        <v>606</v>
      </c>
      <c r="M21" s="264" t="s">
        <v>493</v>
      </c>
      <c r="N21" s="265" t="s">
        <v>470</v>
      </c>
      <c r="O21" s="265" t="s">
        <v>471</v>
      </c>
      <c r="P21" s="264" t="s">
        <v>584</v>
      </c>
      <c r="Q21" s="264" t="s">
        <v>600</v>
      </c>
      <c r="R21" s="264" t="s">
        <v>424</v>
      </c>
      <c r="S21" s="264" t="s">
        <v>425</v>
      </c>
      <c r="T21" s="265">
        <v>1</v>
      </c>
      <c r="U21" s="265">
        <v>1</v>
      </c>
    </row>
    <row r="22" spans="2:21" ht="13.5">
      <c r="B22" s="263" t="s">
        <v>982</v>
      </c>
      <c r="C22" s="263" t="s">
        <v>983</v>
      </c>
      <c r="D22" s="263" t="s">
        <v>947</v>
      </c>
      <c r="E22" s="264">
        <v>18</v>
      </c>
      <c r="F22" s="264" t="s">
        <v>442</v>
      </c>
      <c r="G22" s="264">
        <v>340</v>
      </c>
      <c r="H22" s="264" t="s">
        <v>443</v>
      </c>
      <c r="I22" s="264" t="s">
        <v>416</v>
      </c>
      <c r="J22" s="264" t="s">
        <v>933</v>
      </c>
      <c r="K22" s="264" t="s">
        <v>508</v>
      </c>
      <c r="L22" s="264" t="s">
        <v>509</v>
      </c>
      <c r="M22" s="264" t="s">
        <v>510</v>
      </c>
      <c r="N22" s="265" t="s">
        <v>616</v>
      </c>
      <c r="O22" s="265" t="s">
        <v>617</v>
      </c>
      <c r="P22" s="264" t="s">
        <v>629</v>
      </c>
      <c r="Q22" s="264" t="s">
        <v>613</v>
      </c>
      <c r="R22" s="264" t="s">
        <v>424</v>
      </c>
      <c r="S22" s="264" t="s">
        <v>474</v>
      </c>
      <c r="T22" s="265">
        <v>1</v>
      </c>
      <c r="U22" s="265">
        <v>1</v>
      </c>
    </row>
    <row r="23" spans="2:21" ht="13.5">
      <c r="B23" s="263" t="s">
        <v>156</v>
      </c>
      <c r="C23" s="263" t="s">
        <v>984</v>
      </c>
      <c r="D23" s="263" t="s">
        <v>948</v>
      </c>
      <c r="E23" s="264">
        <v>18</v>
      </c>
      <c r="F23" s="264" t="s">
        <v>442</v>
      </c>
      <c r="G23" s="264">
        <v>300</v>
      </c>
      <c r="H23" s="264" t="s">
        <v>415</v>
      </c>
      <c r="I23" s="264" t="s">
        <v>416</v>
      </c>
      <c r="J23" s="264" t="s">
        <v>934</v>
      </c>
      <c r="K23" s="264" t="s">
        <v>642</v>
      </c>
      <c r="L23" s="264" t="s">
        <v>643</v>
      </c>
      <c r="M23" s="264" t="s">
        <v>485</v>
      </c>
      <c r="N23" s="265" t="s">
        <v>630</v>
      </c>
      <c r="O23" s="265" t="s">
        <v>631</v>
      </c>
      <c r="P23" s="264" t="s">
        <v>644</v>
      </c>
      <c r="Q23" s="264" t="s">
        <v>645</v>
      </c>
      <c r="R23" s="264" t="s">
        <v>424</v>
      </c>
      <c r="S23" s="264" t="s">
        <v>425</v>
      </c>
      <c r="T23" s="265">
        <v>1</v>
      </c>
      <c r="U23" s="265">
        <v>1</v>
      </c>
    </row>
    <row r="24" spans="2:21" ht="13.5">
      <c r="B24" s="263" t="s">
        <v>985</v>
      </c>
      <c r="C24" s="263" t="s">
        <v>986</v>
      </c>
      <c r="D24" s="263" t="s">
        <v>949</v>
      </c>
      <c r="E24" s="264">
        <v>19</v>
      </c>
      <c r="F24" s="264" t="s">
        <v>442</v>
      </c>
      <c r="G24" s="264">
        <v>330</v>
      </c>
      <c r="H24" s="264" t="s">
        <v>415</v>
      </c>
      <c r="I24" s="264" t="s">
        <v>416</v>
      </c>
      <c r="J24" s="264" t="s">
        <v>935</v>
      </c>
      <c r="K24" s="264" t="s">
        <v>642</v>
      </c>
      <c r="L24" s="264" t="s">
        <v>643</v>
      </c>
      <c r="M24" s="264" t="s">
        <v>485</v>
      </c>
      <c r="N24" s="265" t="s">
        <v>476</v>
      </c>
      <c r="O24" s="265" t="s">
        <v>649</v>
      </c>
      <c r="P24" s="264" t="s">
        <v>663</v>
      </c>
      <c r="Q24" s="264" t="s">
        <v>654</v>
      </c>
      <c r="R24" s="264" t="s">
        <v>424</v>
      </c>
      <c r="S24" s="264" t="s">
        <v>425</v>
      </c>
      <c r="T24" s="265">
        <v>1</v>
      </c>
      <c r="U24" s="265">
        <v>1</v>
      </c>
    </row>
    <row r="25" spans="2:21" ht="13.5">
      <c r="B25" s="263" t="s">
        <v>976</v>
      </c>
      <c r="C25" s="263" t="s">
        <v>977</v>
      </c>
      <c r="D25" s="263" t="s">
        <v>950</v>
      </c>
      <c r="E25" s="264">
        <v>18</v>
      </c>
      <c r="F25" s="264" t="s">
        <v>414</v>
      </c>
      <c r="G25" s="264">
        <v>500</v>
      </c>
      <c r="H25" s="264" t="s">
        <v>676</v>
      </c>
      <c r="I25" s="264" t="s">
        <v>416</v>
      </c>
      <c r="J25" s="264" t="s">
        <v>933</v>
      </c>
      <c r="K25" s="264" t="s">
        <v>501</v>
      </c>
      <c r="L25" s="264" t="s">
        <v>502</v>
      </c>
      <c r="M25" s="264" t="s">
        <v>441</v>
      </c>
      <c r="N25" s="265" t="s">
        <v>476</v>
      </c>
      <c r="O25" s="265" t="s">
        <v>523</v>
      </c>
      <c r="P25" s="264" t="s">
        <v>535</v>
      </c>
      <c r="Q25" s="264" t="s">
        <v>536</v>
      </c>
      <c r="R25" s="264" t="s">
        <v>424</v>
      </c>
      <c r="S25" s="264" t="s">
        <v>675</v>
      </c>
      <c r="T25" s="265">
        <v>1</v>
      </c>
      <c r="U25" s="265">
        <v>1</v>
      </c>
    </row>
    <row r="26" spans="2:21" ht="13.5">
      <c r="B26" s="263" t="s">
        <v>987</v>
      </c>
      <c r="C26" s="263" t="s">
        <v>988</v>
      </c>
      <c r="D26" s="263" t="s">
        <v>951</v>
      </c>
      <c r="E26" s="264">
        <v>18</v>
      </c>
      <c r="F26" s="264" t="s">
        <v>442</v>
      </c>
      <c r="G26" s="264">
        <v>501</v>
      </c>
      <c r="H26" s="264" t="s">
        <v>415</v>
      </c>
      <c r="I26" s="264" t="s">
        <v>416</v>
      </c>
      <c r="J26" s="264" t="s">
        <v>928</v>
      </c>
      <c r="K26" s="264" t="s">
        <v>426</v>
      </c>
      <c r="L26" s="264" t="s">
        <v>427</v>
      </c>
      <c r="M26" s="264" t="s">
        <v>428</v>
      </c>
      <c r="N26" s="265" t="s">
        <v>591</v>
      </c>
      <c r="O26" s="265" t="s">
        <v>677</v>
      </c>
      <c r="P26" s="264" t="s">
        <v>678</v>
      </c>
      <c r="Q26" s="264" t="s">
        <v>679</v>
      </c>
      <c r="R26" s="264" t="s">
        <v>424</v>
      </c>
      <c r="S26" s="264" t="s">
        <v>425</v>
      </c>
      <c r="T26" s="265">
        <v>1</v>
      </c>
      <c r="U26" s="265">
        <v>1</v>
      </c>
    </row>
    <row r="27" spans="2:21" ht="13.5">
      <c r="B27" s="263" t="s">
        <v>989</v>
      </c>
      <c r="C27" s="263" t="s">
        <v>990</v>
      </c>
      <c r="D27" s="263" t="s">
        <v>952</v>
      </c>
      <c r="E27" s="264">
        <v>18</v>
      </c>
      <c r="F27" s="264" t="s">
        <v>414</v>
      </c>
      <c r="G27" s="264">
        <v>540</v>
      </c>
      <c r="H27" s="264" t="s">
        <v>415</v>
      </c>
      <c r="I27" s="264" t="s">
        <v>416</v>
      </c>
      <c r="J27" s="264" t="s">
        <v>922</v>
      </c>
      <c r="K27" s="264" t="s">
        <v>626</v>
      </c>
      <c r="L27" s="264" t="s">
        <v>627</v>
      </c>
      <c r="M27" s="264" t="s">
        <v>510</v>
      </c>
      <c r="N27" s="265" t="s">
        <v>446</v>
      </c>
      <c r="O27" s="265" t="s">
        <v>447</v>
      </c>
      <c r="P27" s="264" t="s">
        <v>693</v>
      </c>
      <c r="Q27" s="264" t="s">
        <v>694</v>
      </c>
      <c r="R27" s="264" t="s">
        <v>424</v>
      </c>
      <c r="S27" s="264" t="s">
        <v>425</v>
      </c>
      <c r="T27" s="265">
        <v>1</v>
      </c>
      <c r="U27" s="265">
        <v>1</v>
      </c>
    </row>
    <row r="28" spans="2:21" ht="13.5">
      <c r="B28" s="263" t="s">
        <v>991</v>
      </c>
      <c r="C28" s="263" t="s">
        <v>992</v>
      </c>
      <c r="D28" s="263" t="s">
        <v>953</v>
      </c>
      <c r="E28" s="264">
        <v>18</v>
      </c>
      <c r="F28" s="264" t="s">
        <v>442</v>
      </c>
      <c r="G28" s="264">
        <v>560</v>
      </c>
      <c r="H28" s="264" t="s">
        <v>415</v>
      </c>
      <c r="I28" s="264" t="s">
        <v>416</v>
      </c>
      <c r="J28" s="264" t="s">
        <v>923</v>
      </c>
      <c r="K28" s="264"/>
      <c r="L28" s="264"/>
      <c r="M28" s="264"/>
      <c r="N28" s="265"/>
      <c r="O28" s="265"/>
      <c r="P28" s="264"/>
      <c r="Q28" s="264"/>
      <c r="R28" s="264"/>
      <c r="S28" s="264"/>
      <c r="T28" s="265">
        <v>1</v>
      </c>
      <c r="U28" s="265">
        <v>0</v>
      </c>
    </row>
    <row r="29" spans="2:21" ht="13.5">
      <c r="B29" s="263" t="s">
        <v>993</v>
      </c>
      <c r="C29" s="263" t="s">
        <v>994</v>
      </c>
      <c r="D29" s="263" t="s">
        <v>954</v>
      </c>
      <c r="E29" s="264">
        <v>18</v>
      </c>
      <c r="F29" s="264" t="s">
        <v>442</v>
      </c>
      <c r="G29" s="264">
        <v>745</v>
      </c>
      <c r="H29" s="264" t="s">
        <v>443</v>
      </c>
      <c r="I29" s="264" t="s">
        <v>416</v>
      </c>
      <c r="J29" s="264" t="s">
        <v>925</v>
      </c>
      <c r="K29" s="264"/>
      <c r="L29" s="264"/>
      <c r="M29" s="264"/>
      <c r="N29" s="265"/>
      <c r="O29" s="265"/>
      <c r="P29" s="264"/>
      <c r="Q29" s="264"/>
      <c r="R29" s="264"/>
      <c r="S29" s="264"/>
      <c r="T29" s="265">
        <v>1</v>
      </c>
      <c r="U29" s="265">
        <v>0</v>
      </c>
    </row>
    <row r="30" spans="2:21" ht="13.5">
      <c r="B30" s="263" t="s">
        <v>152</v>
      </c>
      <c r="C30" s="263" t="s">
        <v>999</v>
      </c>
      <c r="D30" s="263" t="s">
        <v>955</v>
      </c>
      <c r="E30" s="264">
        <v>19</v>
      </c>
      <c r="F30" s="264" t="s">
        <v>442</v>
      </c>
      <c r="G30" s="264">
        <v>290</v>
      </c>
      <c r="H30" s="264" t="s">
        <v>415</v>
      </c>
      <c r="I30" s="264" t="s">
        <v>416</v>
      </c>
      <c r="J30" s="264" t="s">
        <v>927</v>
      </c>
      <c r="K30" s="264" t="s">
        <v>725</v>
      </c>
      <c r="L30" s="264" t="s">
        <v>726</v>
      </c>
      <c r="M30" s="264" t="s">
        <v>496</v>
      </c>
      <c r="N30" s="265" t="s">
        <v>591</v>
      </c>
      <c r="O30" s="265" t="s">
        <v>677</v>
      </c>
      <c r="P30" s="264" t="s">
        <v>719</v>
      </c>
      <c r="Q30" s="264" t="s">
        <v>716</v>
      </c>
      <c r="R30" s="264" t="s">
        <v>424</v>
      </c>
      <c r="S30" s="264" t="s">
        <v>425</v>
      </c>
      <c r="T30" s="265">
        <v>1</v>
      </c>
      <c r="U30" s="265">
        <v>1</v>
      </c>
    </row>
    <row r="31" spans="2:21" ht="13.5">
      <c r="B31" s="6" t="s">
        <v>1000</v>
      </c>
      <c r="C31" s="6" t="s">
        <v>998</v>
      </c>
      <c r="D31" s="263" t="s">
        <v>956</v>
      </c>
      <c r="E31" s="264">
        <v>17</v>
      </c>
      <c r="F31" s="264" t="s">
        <v>442</v>
      </c>
      <c r="G31" s="264">
        <v>520</v>
      </c>
      <c r="H31" s="264" t="s">
        <v>415</v>
      </c>
      <c r="I31" s="264" t="s">
        <v>416</v>
      </c>
      <c r="J31" s="264" t="s">
        <v>922</v>
      </c>
      <c r="K31" s="264" t="s">
        <v>503</v>
      </c>
      <c r="L31" s="264" t="s">
        <v>504</v>
      </c>
      <c r="M31" s="264" t="s">
        <v>505</v>
      </c>
      <c r="N31" s="265" t="s">
        <v>730</v>
      </c>
      <c r="O31" s="265" t="s">
        <v>731</v>
      </c>
      <c r="P31" s="264" t="s">
        <v>732</v>
      </c>
      <c r="Q31" s="264" t="s">
        <v>733</v>
      </c>
      <c r="R31" s="264" t="s">
        <v>424</v>
      </c>
      <c r="S31" s="264" t="s">
        <v>425</v>
      </c>
      <c r="T31" s="265">
        <v>1</v>
      </c>
      <c r="U31" s="265">
        <v>1</v>
      </c>
    </row>
    <row r="32" spans="2:21" ht="13.5">
      <c r="B32" s="6" t="s">
        <v>1001</v>
      </c>
      <c r="C32" s="6" t="s">
        <v>1002</v>
      </c>
      <c r="D32" s="263" t="s">
        <v>957</v>
      </c>
      <c r="E32" s="264">
        <v>18</v>
      </c>
      <c r="F32" s="264" t="s">
        <v>442</v>
      </c>
      <c r="G32" s="264">
        <v>330</v>
      </c>
      <c r="H32" s="264" t="s">
        <v>415</v>
      </c>
      <c r="I32" s="264" t="s">
        <v>416</v>
      </c>
      <c r="J32" s="264" t="s">
        <v>925</v>
      </c>
      <c r="K32" s="264"/>
      <c r="L32" s="264"/>
      <c r="M32" s="264"/>
      <c r="N32" s="265"/>
      <c r="O32" s="265"/>
      <c r="P32" s="264"/>
      <c r="Q32" s="264"/>
      <c r="R32" s="264"/>
      <c r="S32" s="264"/>
      <c r="T32" s="265">
        <v>1</v>
      </c>
      <c r="U32" s="265">
        <v>0</v>
      </c>
    </row>
    <row r="33" spans="2:21" ht="13.5">
      <c r="B33" s="263" t="s">
        <v>148</v>
      </c>
      <c r="C33" s="263" t="s">
        <v>149</v>
      </c>
      <c r="D33" s="263" t="s">
        <v>958</v>
      </c>
      <c r="E33" s="264">
        <v>19</v>
      </c>
      <c r="F33" s="264" t="s">
        <v>414</v>
      </c>
      <c r="G33" s="264">
        <v>330</v>
      </c>
      <c r="H33" s="264" t="s">
        <v>415</v>
      </c>
      <c r="I33" s="264" t="s">
        <v>416</v>
      </c>
      <c r="J33" s="264" t="s">
        <v>927</v>
      </c>
      <c r="K33" s="264" t="s">
        <v>605</v>
      </c>
      <c r="L33" s="264" t="s">
        <v>606</v>
      </c>
      <c r="M33" s="264" t="s">
        <v>493</v>
      </c>
      <c r="N33" s="265" t="s">
        <v>476</v>
      </c>
      <c r="O33" s="265" t="s">
        <v>523</v>
      </c>
      <c r="P33" s="264" t="s">
        <v>767</v>
      </c>
      <c r="Q33" s="264" t="s">
        <v>765</v>
      </c>
      <c r="R33" s="264" t="s">
        <v>424</v>
      </c>
      <c r="S33" s="264" t="s">
        <v>425</v>
      </c>
      <c r="T33" s="265">
        <v>1</v>
      </c>
      <c r="U33" s="265">
        <v>1</v>
      </c>
    </row>
    <row r="34" spans="2:21" ht="13.5">
      <c r="B34" s="263" t="s">
        <v>1003</v>
      </c>
      <c r="C34" s="263" t="s">
        <v>1005</v>
      </c>
      <c r="D34" s="263" t="s">
        <v>959</v>
      </c>
      <c r="E34" s="264">
        <v>19</v>
      </c>
      <c r="F34" s="264" t="s">
        <v>414</v>
      </c>
      <c r="G34" s="264">
        <v>240</v>
      </c>
      <c r="H34" s="264" t="s">
        <v>415</v>
      </c>
      <c r="I34" s="264" t="s">
        <v>416</v>
      </c>
      <c r="J34" s="264" t="s">
        <v>932</v>
      </c>
      <c r="K34" s="264"/>
      <c r="L34" s="264"/>
      <c r="M34" s="264"/>
      <c r="N34" s="265"/>
      <c r="O34" s="265"/>
      <c r="P34" s="264"/>
      <c r="Q34" s="264"/>
      <c r="R34" s="264"/>
      <c r="S34" s="264"/>
      <c r="T34" s="265">
        <v>1</v>
      </c>
      <c r="U34" s="265">
        <v>0</v>
      </c>
    </row>
    <row r="35" spans="2:21" ht="13.5">
      <c r="B35" s="263" t="s">
        <v>1006</v>
      </c>
      <c r="C35" s="263" t="s">
        <v>1004</v>
      </c>
      <c r="D35" s="263" t="s">
        <v>960</v>
      </c>
      <c r="E35" s="264">
        <v>18</v>
      </c>
      <c r="F35" s="264" t="s">
        <v>414</v>
      </c>
      <c r="G35" s="264">
        <v>0</v>
      </c>
      <c r="H35" s="264" t="s">
        <v>415</v>
      </c>
      <c r="I35" s="264" t="s">
        <v>416</v>
      </c>
      <c r="J35" s="264" t="s">
        <v>784</v>
      </c>
      <c r="K35" s="264" t="s">
        <v>785</v>
      </c>
      <c r="L35" s="264" t="s">
        <v>786</v>
      </c>
      <c r="M35" s="264" t="s">
        <v>428</v>
      </c>
      <c r="N35" s="265" t="s">
        <v>636</v>
      </c>
      <c r="O35" s="265" t="s">
        <v>787</v>
      </c>
      <c r="P35" s="264" t="s">
        <v>788</v>
      </c>
      <c r="Q35" s="264" t="s">
        <v>789</v>
      </c>
      <c r="R35" s="264" t="s">
        <v>424</v>
      </c>
      <c r="S35" s="264" t="s">
        <v>425</v>
      </c>
      <c r="T35" s="265">
        <v>1</v>
      </c>
      <c r="U35" s="265">
        <v>1</v>
      </c>
    </row>
    <row r="36" spans="2:21" ht="13.5">
      <c r="B36" s="263" t="s">
        <v>1007</v>
      </c>
      <c r="C36" s="263" t="s">
        <v>1008</v>
      </c>
      <c r="D36" s="263" t="s">
        <v>961</v>
      </c>
      <c r="E36" s="264">
        <v>19</v>
      </c>
      <c r="F36" s="264" t="s">
        <v>414</v>
      </c>
      <c r="G36" s="264">
        <v>10</v>
      </c>
      <c r="H36" s="264" t="s">
        <v>415</v>
      </c>
      <c r="I36" s="264" t="s">
        <v>416</v>
      </c>
      <c r="J36" s="264" t="s">
        <v>923</v>
      </c>
      <c r="K36" s="264" t="s">
        <v>802</v>
      </c>
      <c r="L36" s="264" t="s">
        <v>803</v>
      </c>
      <c r="M36" s="264" t="s">
        <v>485</v>
      </c>
      <c r="N36" s="265" t="s">
        <v>636</v>
      </c>
      <c r="O36" s="265" t="s">
        <v>787</v>
      </c>
      <c r="P36" s="264" t="s">
        <v>804</v>
      </c>
      <c r="Q36" s="264" t="s">
        <v>798</v>
      </c>
      <c r="R36" s="264" t="s">
        <v>586</v>
      </c>
      <c r="S36" s="264" t="s">
        <v>425</v>
      </c>
      <c r="T36" s="265">
        <v>1</v>
      </c>
      <c r="U36" s="265">
        <v>1</v>
      </c>
    </row>
    <row r="37" spans="2:21" ht="13.5">
      <c r="B37" s="263" t="s">
        <v>1009</v>
      </c>
      <c r="C37" s="263" t="s">
        <v>1010</v>
      </c>
      <c r="D37" s="263" t="s">
        <v>962</v>
      </c>
      <c r="E37" s="264">
        <v>18</v>
      </c>
      <c r="F37" s="264" t="s">
        <v>442</v>
      </c>
      <c r="G37" s="264">
        <v>260</v>
      </c>
      <c r="H37" s="264" t="s">
        <v>415</v>
      </c>
      <c r="I37" s="264" t="s">
        <v>838</v>
      </c>
      <c r="J37" s="264" t="s">
        <v>922</v>
      </c>
      <c r="K37" s="264" t="s">
        <v>717</v>
      </c>
      <c r="L37" s="264" t="s">
        <v>718</v>
      </c>
      <c r="M37" s="264" t="s">
        <v>482</v>
      </c>
      <c r="N37" s="265" t="s">
        <v>819</v>
      </c>
      <c r="O37" s="265" t="s">
        <v>820</v>
      </c>
      <c r="P37" s="264" t="s">
        <v>821</v>
      </c>
      <c r="Q37" s="264" t="s">
        <v>822</v>
      </c>
      <c r="R37" s="264" t="s">
        <v>424</v>
      </c>
      <c r="S37" s="264" t="s">
        <v>474</v>
      </c>
      <c r="T37" s="265">
        <v>1</v>
      </c>
      <c r="U37" s="265">
        <v>1</v>
      </c>
    </row>
    <row r="38" spans="2:21" ht="13.5">
      <c r="B38" s="263" t="s">
        <v>1011</v>
      </c>
      <c r="C38" s="263" t="s">
        <v>1012</v>
      </c>
      <c r="D38" s="263" t="s">
        <v>963</v>
      </c>
      <c r="E38" s="264">
        <v>27</v>
      </c>
      <c r="F38" s="264" t="s">
        <v>414</v>
      </c>
      <c r="G38" s="264">
        <v>0</v>
      </c>
      <c r="H38" s="264" t="s">
        <v>415</v>
      </c>
      <c r="I38" s="264" t="s">
        <v>416</v>
      </c>
      <c r="J38" s="264" t="s">
        <v>925</v>
      </c>
      <c r="K38" s="264" t="s">
        <v>537</v>
      </c>
      <c r="L38" s="264" t="s">
        <v>340</v>
      </c>
      <c r="M38" s="264" t="s">
        <v>538</v>
      </c>
      <c r="N38" s="265" t="s">
        <v>497</v>
      </c>
      <c r="O38" s="265" t="s">
        <v>823</v>
      </c>
      <c r="P38" s="264" t="s">
        <v>824</v>
      </c>
      <c r="Q38" s="264" t="s">
        <v>825</v>
      </c>
      <c r="R38" s="264" t="s">
        <v>424</v>
      </c>
      <c r="S38" s="264" t="s">
        <v>425</v>
      </c>
      <c r="T38" s="265">
        <v>1</v>
      </c>
      <c r="U38" s="265">
        <v>1</v>
      </c>
    </row>
    <row r="39" spans="2:21" ht="13.5">
      <c r="B39" s="263" t="s">
        <v>1029</v>
      </c>
      <c r="C39" s="263" t="s">
        <v>1030</v>
      </c>
      <c r="D39" s="263" t="s">
        <v>964</v>
      </c>
      <c r="E39" s="264">
        <v>31</v>
      </c>
      <c r="F39" s="264" t="s">
        <v>414</v>
      </c>
      <c r="G39" s="264">
        <v>0</v>
      </c>
      <c r="H39" s="264" t="s">
        <v>415</v>
      </c>
      <c r="I39" s="264" t="s">
        <v>416</v>
      </c>
      <c r="J39" s="264" t="s">
        <v>922</v>
      </c>
      <c r="K39" s="264" t="s">
        <v>835</v>
      </c>
      <c r="L39" s="264" t="s">
        <v>836</v>
      </c>
      <c r="M39" s="264" t="s">
        <v>419</v>
      </c>
      <c r="N39" s="265" t="s">
        <v>591</v>
      </c>
      <c r="O39" s="265" t="s">
        <v>677</v>
      </c>
      <c r="P39" s="264" t="s">
        <v>723</v>
      </c>
      <c r="Q39" s="264" t="s">
        <v>837</v>
      </c>
      <c r="R39" s="264" t="s">
        <v>424</v>
      </c>
      <c r="S39" s="264" t="s">
        <v>425</v>
      </c>
      <c r="T39" s="265">
        <v>1</v>
      </c>
      <c r="U39" s="265">
        <v>1</v>
      </c>
    </row>
    <row r="40" spans="2:21" ht="13.5">
      <c r="B40" s="263" t="s">
        <v>1013</v>
      </c>
      <c r="C40" s="263" t="s">
        <v>1014</v>
      </c>
      <c r="D40" s="263" t="s">
        <v>965</v>
      </c>
      <c r="E40" s="264">
        <v>21</v>
      </c>
      <c r="F40" s="264" t="s">
        <v>414</v>
      </c>
      <c r="G40" s="264">
        <v>0</v>
      </c>
      <c r="H40" s="264" t="s">
        <v>415</v>
      </c>
      <c r="I40" s="264" t="s">
        <v>416</v>
      </c>
      <c r="J40" s="264" t="s">
        <v>839</v>
      </c>
      <c r="K40" s="264" t="s">
        <v>844</v>
      </c>
      <c r="L40" s="264" t="s">
        <v>845</v>
      </c>
      <c r="M40" s="264" t="s">
        <v>419</v>
      </c>
      <c r="N40" s="265" t="s">
        <v>636</v>
      </c>
      <c r="O40" s="265" t="s">
        <v>637</v>
      </c>
      <c r="P40" s="264" t="s">
        <v>842</v>
      </c>
      <c r="Q40" s="264" t="s">
        <v>843</v>
      </c>
      <c r="R40" s="264" t="s">
        <v>424</v>
      </c>
      <c r="S40" s="264" t="s">
        <v>425</v>
      </c>
      <c r="T40" s="265">
        <v>1</v>
      </c>
      <c r="U40" s="265">
        <v>1</v>
      </c>
    </row>
    <row r="41" spans="2:21" ht="13.5">
      <c r="B41" s="263" t="s">
        <v>1015</v>
      </c>
      <c r="C41" s="263" t="s">
        <v>1016</v>
      </c>
      <c r="D41" s="263" t="s">
        <v>966</v>
      </c>
      <c r="E41" s="264">
        <v>24</v>
      </c>
      <c r="F41" s="264" t="s">
        <v>414</v>
      </c>
      <c r="G41" s="264">
        <v>10</v>
      </c>
      <c r="H41" s="264" t="s">
        <v>415</v>
      </c>
      <c r="I41" s="264" t="s">
        <v>416</v>
      </c>
      <c r="J41" s="264" t="s">
        <v>927</v>
      </c>
      <c r="K41" s="264" t="s">
        <v>826</v>
      </c>
      <c r="L41" s="264" t="s">
        <v>827</v>
      </c>
      <c r="M41" s="264" t="s">
        <v>538</v>
      </c>
      <c r="N41" s="265" t="s">
        <v>636</v>
      </c>
      <c r="O41" s="265" t="s">
        <v>853</v>
      </c>
      <c r="P41" s="264" t="s">
        <v>856</v>
      </c>
      <c r="Q41" s="264" t="s">
        <v>857</v>
      </c>
      <c r="R41" s="264" t="s">
        <v>424</v>
      </c>
      <c r="S41" s="264" t="s">
        <v>425</v>
      </c>
      <c r="T41" s="265">
        <v>1</v>
      </c>
      <c r="U41" s="265">
        <v>1</v>
      </c>
    </row>
    <row r="42" spans="2:21" ht="13.5">
      <c r="B42" s="263" t="s">
        <v>1017</v>
      </c>
      <c r="C42" s="263" t="s">
        <v>1018</v>
      </c>
      <c r="D42" s="263" t="s">
        <v>967</v>
      </c>
      <c r="E42" s="264">
        <v>19</v>
      </c>
      <c r="F42" s="264" t="s">
        <v>414</v>
      </c>
      <c r="G42" s="264">
        <v>320</v>
      </c>
      <c r="H42" s="264" t="s">
        <v>415</v>
      </c>
      <c r="I42" s="264" t="s">
        <v>416</v>
      </c>
      <c r="J42" s="264" t="s">
        <v>932</v>
      </c>
      <c r="K42" s="264" t="s">
        <v>626</v>
      </c>
      <c r="L42" s="264" t="s">
        <v>627</v>
      </c>
      <c r="M42" s="264" t="s">
        <v>510</v>
      </c>
      <c r="N42" s="265" t="s">
        <v>476</v>
      </c>
      <c r="O42" s="265" t="s">
        <v>523</v>
      </c>
      <c r="P42" s="264" t="s">
        <v>535</v>
      </c>
      <c r="Q42" s="264" t="s">
        <v>536</v>
      </c>
      <c r="R42" s="264" t="s">
        <v>424</v>
      </c>
      <c r="S42" s="264" t="s">
        <v>425</v>
      </c>
      <c r="T42" s="265">
        <v>1</v>
      </c>
      <c r="U42" s="265">
        <v>1</v>
      </c>
    </row>
    <row r="43" spans="2:21" ht="13.5">
      <c r="B43" s="263" t="s">
        <v>1019</v>
      </c>
      <c r="C43" s="263" t="s">
        <v>1020</v>
      </c>
      <c r="D43" s="263" t="s">
        <v>968</v>
      </c>
      <c r="E43" s="264">
        <v>18</v>
      </c>
      <c r="F43" s="264" t="s">
        <v>414</v>
      </c>
      <c r="G43" s="264">
        <v>180</v>
      </c>
      <c r="H43" s="264" t="s">
        <v>443</v>
      </c>
      <c r="I43" s="264" t="s">
        <v>416</v>
      </c>
      <c r="J43" s="264" t="s">
        <v>923</v>
      </c>
      <c r="K43" s="264" t="s">
        <v>875</v>
      </c>
      <c r="L43" s="264" t="s">
        <v>876</v>
      </c>
      <c r="M43" s="264" t="s">
        <v>482</v>
      </c>
      <c r="N43" s="265" t="s">
        <v>819</v>
      </c>
      <c r="O43" s="265" t="s">
        <v>877</v>
      </c>
      <c r="P43" s="264" t="s">
        <v>878</v>
      </c>
      <c r="Q43" s="264" t="s">
        <v>879</v>
      </c>
      <c r="R43" s="264" t="s">
        <v>424</v>
      </c>
      <c r="S43" s="264" t="s">
        <v>474</v>
      </c>
      <c r="T43" s="265">
        <v>1</v>
      </c>
      <c r="U43" s="265">
        <v>1</v>
      </c>
    </row>
    <row r="44" spans="2:21" ht="13.5">
      <c r="B44" s="263" t="s">
        <v>1021</v>
      </c>
      <c r="C44" s="263" t="s">
        <v>1022</v>
      </c>
      <c r="D44" s="263" t="s">
        <v>969</v>
      </c>
      <c r="E44" s="264">
        <v>19</v>
      </c>
      <c r="F44" s="264" t="s">
        <v>414</v>
      </c>
      <c r="G44" s="264">
        <v>220</v>
      </c>
      <c r="H44" s="264" t="s">
        <v>415</v>
      </c>
      <c r="I44" s="264" t="s">
        <v>416</v>
      </c>
      <c r="J44" s="264" t="s">
        <v>932</v>
      </c>
      <c r="K44" s="264" t="s">
        <v>646</v>
      </c>
      <c r="L44" s="264" t="s">
        <v>647</v>
      </c>
      <c r="M44" s="264" t="s">
        <v>441</v>
      </c>
      <c r="N44" s="265" t="s">
        <v>420</v>
      </c>
      <c r="O44" s="265" t="s">
        <v>799</v>
      </c>
      <c r="P44" s="264" t="s">
        <v>880</v>
      </c>
      <c r="Q44" s="264" t="s">
        <v>881</v>
      </c>
      <c r="R44" s="264" t="s">
        <v>424</v>
      </c>
      <c r="S44" s="264" t="s">
        <v>425</v>
      </c>
      <c r="T44" s="265">
        <v>1</v>
      </c>
      <c r="U44" s="265">
        <v>1</v>
      </c>
    </row>
    <row r="45" spans="2:21" ht="13.5">
      <c r="B45" s="263" t="s">
        <v>1023</v>
      </c>
      <c r="C45" s="263" t="s">
        <v>1024</v>
      </c>
      <c r="D45" s="263" t="s">
        <v>970</v>
      </c>
      <c r="E45" s="264">
        <v>17</v>
      </c>
      <c r="F45" s="264" t="s">
        <v>442</v>
      </c>
      <c r="G45" s="264">
        <v>345</v>
      </c>
      <c r="H45" s="264" t="s">
        <v>415</v>
      </c>
      <c r="I45" s="264" t="s">
        <v>416</v>
      </c>
      <c r="J45" s="264" t="s">
        <v>933</v>
      </c>
      <c r="K45" s="264" t="s">
        <v>503</v>
      </c>
      <c r="L45" s="264" t="s">
        <v>504</v>
      </c>
      <c r="M45" s="264" t="s">
        <v>505</v>
      </c>
      <c r="N45" s="265" t="s">
        <v>420</v>
      </c>
      <c r="O45" s="265" t="s">
        <v>799</v>
      </c>
      <c r="P45" s="264" t="s">
        <v>895</v>
      </c>
      <c r="Q45" s="264" t="s">
        <v>896</v>
      </c>
      <c r="R45" s="264" t="s">
        <v>424</v>
      </c>
      <c r="S45" s="264" t="s">
        <v>425</v>
      </c>
      <c r="T45" s="265">
        <v>1</v>
      </c>
      <c r="U45" s="265">
        <v>1</v>
      </c>
    </row>
    <row r="46" spans="2:21" ht="13.5">
      <c r="B46" s="6" t="s">
        <v>150</v>
      </c>
      <c r="C46" s="263" t="s">
        <v>1025</v>
      </c>
      <c r="D46" s="263" t="s">
        <v>971</v>
      </c>
      <c r="E46" s="264">
        <v>18</v>
      </c>
      <c r="F46" s="264" t="s">
        <v>442</v>
      </c>
      <c r="G46" s="264">
        <v>320</v>
      </c>
      <c r="H46" s="264" t="s">
        <v>415</v>
      </c>
      <c r="I46" s="264" t="s">
        <v>416</v>
      </c>
      <c r="J46" s="264" t="s">
        <v>922</v>
      </c>
      <c r="K46" s="264" t="s">
        <v>904</v>
      </c>
      <c r="L46" s="264" t="s">
        <v>905</v>
      </c>
      <c r="M46" s="264" t="s">
        <v>482</v>
      </c>
      <c r="N46" s="265" t="s">
        <v>470</v>
      </c>
      <c r="O46" s="265" t="s">
        <v>471</v>
      </c>
      <c r="P46" s="264" t="s">
        <v>909</v>
      </c>
      <c r="Q46" s="264" t="s">
        <v>910</v>
      </c>
      <c r="R46" s="264" t="s">
        <v>424</v>
      </c>
      <c r="S46" s="264" t="s">
        <v>425</v>
      </c>
      <c r="T46" s="265">
        <v>1</v>
      </c>
      <c r="U46" s="265">
        <v>1</v>
      </c>
    </row>
    <row r="47" spans="2:21" ht="13.5">
      <c r="B47" s="6" t="s">
        <v>1026</v>
      </c>
      <c r="C47" s="263" t="s">
        <v>1027</v>
      </c>
      <c r="D47" s="263" t="s">
        <v>972</v>
      </c>
      <c r="E47" s="264">
        <v>21</v>
      </c>
      <c r="F47" s="264" t="s">
        <v>442</v>
      </c>
      <c r="G47" s="264">
        <v>0</v>
      </c>
      <c r="H47" s="264" t="s">
        <v>415</v>
      </c>
      <c r="I47" s="264" t="s">
        <v>416</v>
      </c>
      <c r="J47" s="264" t="s">
        <v>927</v>
      </c>
      <c r="K47" s="264" t="s">
        <v>741</v>
      </c>
      <c r="L47" s="264" t="s">
        <v>742</v>
      </c>
      <c r="M47" s="264" t="s">
        <v>505</v>
      </c>
      <c r="N47" s="265" t="s">
        <v>476</v>
      </c>
      <c r="O47" s="265" t="s">
        <v>911</v>
      </c>
      <c r="P47" s="264" t="s">
        <v>912</v>
      </c>
      <c r="Q47" s="264" t="s">
        <v>913</v>
      </c>
      <c r="R47" s="264" t="s">
        <v>914</v>
      </c>
      <c r="S47" s="264" t="s">
        <v>425</v>
      </c>
      <c r="T47" s="265">
        <v>1</v>
      </c>
      <c r="U47" s="265">
        <v>1</v>
      </c>
    </row>
    <row r="48" spans="2:21" ht="13.5">
      <c r="B48" s="6" t="s">
        <v>1028</v>
      </c>
      <c r="C48" s="263" t="s">
        <v>149</v>
      </c>
      <c r="D48" s="263" t="s">
        <v>973</v>
      </c>
      <c r="E48" s="264">
        <v>59</v>
      </c>
      <c r="F48" s="264" t="s">
        <v>414</v>
      </c>
      <c r="G48" s="264">
        <v>0</v>
      </c>
      <c r="H48" s="264" t="s">
        <v>443</v>
      </c>
      <c r="I48" s="264" t="s">
        <v>416</v>
      </c>
      <c r="J48" s="264" t="s">
        <v>923</v>
      </c>
      <c r="K48" s="264" t="s">
        <v>870</v>
      </c>
      <c r="L48" s="264" t="s">
        <v>871</v>
      </c>
      <c r="M48" s="264" t="s">
        <v>482</v>
      </c>
      <c r="N48" s="265" t="s">
        <v>819</v>
      </c>
      <c r="O48" s="265" t="s">
        <v>917</v>
      </c>
      <c r="P48" s="264" t="s">
        <v>918</v>
      </c>
      <c r="Q48" s="264" t="s">
        <v>919</v>
      </c>
      <c r="R48" s="264" t="s">
        <v>424</v>
      </c>
      <c r="S48" s="264" t="s">
        <v>425</v>
      </c>
      <c r="T48" s="265">
        <v>1</v>
      </c>
      <c r="U48" s="265">
        <v>1</v>
      </c>
    </row>
    <row r="49" spans="2:21" ht="12.75">
      <c r="B49" s="4"/>
      <c r="C49" s="4"/>
      <c r="D49" s="4"/>
      <c r="E49" s="4"/>
      <c r="F49" s="4"/>
      <c r="G49" s="4"/>
      <c r="H49" s="4"/>
      <c r="I49" s="4"/>
      <c r="J49" s="4"/>
      <c r="K49"/>
      <c r="L49"/>
      <c r="M49"/>
      <c r="N49"/>
      <c r="O49"/>
      <c r="P49"/>
      <c r="Q49"/>
      <c r="R49"/>
      <c r="S49"/>
      <c r="T49" s="4"/>
      <c r="U49" s="4"/>
    </row>
    <row r="50" spans="2:21" ht="12.75">
      <c r="B50" s="4"/>
      <c r="C50" s="4"/>
      <c r="D50" s="4"/>
      <c r="E50" s="4"/>
      <c r="F50" s="4"/>
      <c r="G50" s="4"/>
      <c r="H50" s="4"/>
      <c r="I50" s="4"/>
      <c r="J50" s="4"/>
      <c r="K50"/>
      <c r="L50"/>
      <c r="M50"/>
      <c r="N50"/>
      <c r="O50"/>
      <c r="P50"/>
      <c r="Q50"/>
      <c r="R50"/>
      <c r="S50"/>
      <c r="T50" s="4"/>
      <c r="U50" s="4"/>
    </row>
    <row r="51" spans="2:21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P51" s="4"/>
      <c r="Q51" s="4"/>
      <c r="R51" s="4"/>
      <c r="S51" s="4"/>
      <c r="T51" s="4"/>
      <c r="U51" s="4"/>
    </row>
    <row r="52" spans="2:21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P52" s="4"/>
      <c r="Q52" s="4"/>
      <c r="R52" s="4"/>
      <c r="S52" s="4"/>
      <c r="T52" s="4"/>
      <c r="U52" s="4"/>
    </row>
    <row r="53" spans="2:21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P53" s="4"/>
      <c r="Q53" s="4"/>
      <c r="R53" s="4"/>
      <c r="S53" s="4"/>
      <c r="T53" s="4"/>
      <c r="U53" s="4"/>
    </row>
    <row r="54" spans="2:21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P54" s="4"/>
      <c r="Q54" s="4"/>
      <c r="R54" s="4"/>
      <c r="S54" s="4"/>
      <c r="T54" s="4"/>
      <c r="U54" s="4"/>
    </row>
    <row r="55" spans="2:21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4"/>
      <c r="Q55" s="4"/>
      <c r="R55" s="4"/>
      <c r="S55" s="4"/>
      <c r="T55" s="4"/>
      <c r="U55" s="4"/>
    </row>
    <row r="56" spans="2:21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P56" s="4"/>
      <c r="Q56" s="4"/>
      <c r="R56" s="4"/>
      <c r="S56" s="4"/>
      <c r="T56" s="4"/>
      <c r="U56" s="4"/>
    </row>
  </sheetData>
  <sheetProtection/>
  <dataValidations count="20">
    <dataValidation allowBlank="1" showInputMessage="1" showErrorMessage="1" promptTitle="Accepted count" prompt="A count of all accepted applicants that agreed to share their data" sqref="U10"/>
    <dataValidation allowBlank="1" showInputMessage="1" showErrorMessage="1" promptTitle="Applicant count" prompt="A count of all applicants that agreed to share their data" sqref="T10"/>
    <dataValidation allowBlank="1" showInputMessage="1" showErrorMessage="1" promptTitle="Surname" prompt="Applicant surname" sqref="C10"/>
    <dataValidation allowBlank="1" showInputMessage="1" showErrorMessage="1" promptTitle="First name" prompt="Applicant first name" sqref="B10"/>
    <dataValidation allowBlank="1" showInputMessage="1" showErrorMessage="1" promptTitle="appno" prompt="UCAS application code" sqref="D10"/>
    <dataValidation allowBlank="1" showInputMessage="1" showErrorMessage="1" promptTitle="accepted route" prompt="Route through which the course was accepted at. Route A and B are through the mainscheme, all other routes are direct (eg clearing)." sqref="S10"/>
    <dataValidation allowBlank="1" showInputMessage="1" showErrorMessage="1" promptTitle="accepted qualification type" prompt="Qualification type of the course accepted at" sqref="R10"/>
    <dataValidation allowBlank="1" showInputMessage="1" showErrorMessage="1" promptTitle="accepted course title" prompt="Course title accepted at" sqref="Q10"/>
    <dataValidation allowBlank="1" showInputMessage="1" showErrorMessage="1" promptTitle="accepted course code" prompt="Course code accepted at" sqref="P10"/>
    <dataValidation allowBlank="1" showInputMessage="1" showErrorMessage="1" promptTitle="accepted JACS2 subject line" prompt="JACS2 subject line for the course accepted at" sqref="O10"/>
    <dataValidation allowBlank="1" showInputMessage="1" showErrorMessage="1" promptTitle="accepted JACS2 subject group" prompt="JACS2 subject group for the course accepted at" sqref="N10"/>
    <dataValidation allowBlank="1" showInputMessage="1" showErrorMessage="1" promptTitle="accepted HEI name" prompt="Institution code and name accepted at" sqref="L10"/>
    <dataValidation allowBlank="1" showInputMessage="1" showErrorMessage="1" promptTitle="Postcode" prompt="Applicant postcode" sqref="J10"/>
    <dataValidation allowBlank="1" showInputMessage="1" showErrorMessage="1" promptTitle="Disability" prompt="Applicant disability" sqref="I10"/>
    <dataValidation allowBlank="1" showInputMessage="1" showErrorMessage="1" promptTitle="Ethnicity" prompt="Applicant ethnic group" sqref="H10"/>
    <dataValidation allowBlank="1" showInputMessage="1" showErrorMessage="1" promptTitle="Tariff score" prompt="Applicant tariff score from the Awarding Body Linkage" sqref="G10"/>
    <dataValidation allowBlank="1" showInputMessage="1" showErrorMessage="1" promptTitle="Gender" prompt="Applicant gender" sqref="F10"/>
    <dataValidation allowBlank="1" showInputMessage="1" showErrorMessage="1" promptTitle="Age" prompt="Age as at 30th September" sqref="E10"/>
    <dataValidation allowBlank="1" showInputMessage="1" showErrorMessage="1" promptTitle="accetped HEI code" prompt="UCAS institution code accepted at" sqref="K10"/>
    <dataValidation allowBlank="1" showInputMessage="1" showErrorMessage="1" promptTitle="accepted HEI region" prompt="Institution region accepted at" sqref="M10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B2:V185"/>
  <sheetViews>
    <sheetView showGridLines="0" showRowColHeaders="0" zoomScalePageLayoutView="0" workbookViewId="0" topLeftCell="A1">
      <selection activeCell="B7" sqref="B7"/>
    </sheetView>
  </sheetViews>
  <sheetFormatPr defaultColWidth="9.140625" defaultRowHeight="12.75"/>
  <cols>
    <col min="1" max="1" width="7.140625" style="1" customWidth="1"/>
    <col min="2" max="3" width="16.28125" style="3" customWidth="1"/>
    <col min="4" max="4" width="32.8515625" style="3" bestFit="1" customWidth="1"/>
    <col min="5" max="5" width="9.00390625" style="3" customWidth="1"/>
    <col min="6" max="8" width="13.140625" style="3" customWidth="1"/>
    <col min="9" max="9" width="26.140625" style="3" customWidth="1"/>
    <col min="10" max="11" width="13.140625" style="3" customWidth="1"/>
    <col min="12" max="15" width="20.28125" style="3" customWidth="1"/>
    <col min="16" max="16" width="13.7109375" style="3" customWidth="1"/>
    <col min="17" max="17" width="27.421875" style="3" customWidth="1"/>
    <col min="18" max="18" width="17.28125" style="3" customWidth="1"/>
    <col min="19" max="21" width="13.57421875" style="3" customWidth="1"/>
    <col min="22" max="22" width="15.140625" style="3" bestFit="1" customWidth="1"/>
    <col min="23" max="16384" width="9.140625" style="3" customWidth="1"/>
  </cols>
  <sheetData>
    <row r="1" s="1" customFormat="1" ht="12.75"/>
    <row r="2" s="1" customFormat="1" ht="15">
      <c r="B2" s="48" t="s">
        <v>274</v>
      </c>
    </row>
    <row r="3" s="1" customFormat="1" ht="12.75"/>
    <row r="4" s="1" customFormat="1" ht="12.75"/>
    <row r="5" spans="12:17" s="1" customFormat="1" ht="12.75">
      <c r="L5" s="2"/>
      <c r="M5" s="2"/>
      <c r="N5" s="2"/>
      <c r="O5" s="2"/>
      <c r="Q5" s="3"/>
    </row>
    <row r="6" s="1" customFormat="1" ht="12.75">
      <c r="G6" s="3"/>
    </row>
    <row r="7" spans="2:22" s="1" customFormat="1" ht="13.5">
      <c r="B7" s="45" t="s">
        <v>1632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1" customFormat="1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s="1" customFormat="1" ht="13.5">
      <c r="B9" s="76" t="s">
        <v>279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s="1" customFormat="1" ht="13.5">
      <c r="B10" s="266" t="s">
        <v>74</v>
      </c>
      <c r="C10" s="266" t="s">
        <v>75</v>
      </c>
      <c r="D10" s="266" t="s">
        <v>273</v>
      </c>
      <c r="E10" s="266" t="s">
        <v>77</v>
      </c>
      <c r="F10" s="266" t="s">
        <v>76</v>
      </c>
      <c r="G10" s="266" t="s">
        <v>78</v>
      </c>
      <c r="H10" s="266" t="s">
        <v>79</v>
      </c>
      <c r="I10" s="266" t="s">
        <v>68</v>
      </c>
      <c r="J10" s="266" t="s">
        <v>80</v>
      </c>
      <c r="K10" s="266" t="s">
        <v>920</v>
      </c>
      <c r="L10" s="266" t="s">
        <v>81</v>
      </c>
      <c r="M10" s="266" t="s">
        <v>921</v>
      </c>
      <c r="N10" s="266" t="s">
        <v>271</v>
      </c>
      <c r="O10" s="266" t="s">
        <v>272</v>
      </c>
      <c r="P10" s="266" t="s">
        <v>82</v>
      </c>
      <c r="Q10" s="266" t="s">
        <v>83</v>
      </c>
      <c r="R10" s="266" t="s">
        <v>84</v>
      </c>
      <c r="S10" s="266" t="s">
        <v>85</v>
      </c>
      <c r="T10" s="267" t="s">
        <v>280</v>
      </c>
      <c r="U10" s="266" t="s">
        <v>281</v>
      </c>
      <c r="V10" s="266" t="s">
        <v>282</v>
      </c>
    </row>
    <row r="11" spans="2:22" ht="13.5">
      <c r="B11" s="6" t="s">
        <v>995</v>
      </c>
      <c r="C11" s="6" t="s">
        <v>996</v>
      </c>
      <c r="D11" s="263" t="s">
        <v>936</v>
      </c>
      <c r="E11" s="264">
        <v>19</v>
      </c>
      <c r="F11" s="264" t="s">
        <v>414</v>
      </c>
      <c r="G11" s="264">
        <v>530</v>
      </c>
      <c r="H11" s="264" t="s">
        <v>443</v>
      </c>
      <c r="I11" s="264" t="s">
        <v>416</v>
      </c>
      <c r="J11" s="264" t="s">
        <v>922</v>
      </c>
      <c r="K11" s="264" t="s">
        <v>417</v>
      </c>
      <c r="L11" s="264" t="s">
        <v>418</v>
      </c>
      <c r="M11" s="264" t="s">
        <v>419</v>
      </c>
      <c r="N11" s="265" t="s">
        <v>420</v>
      </c>
      <c r="O11" s="265" t="s">
        <v>421</v>
      </c>
      <c r="P11" s="264" t="s">
        <v>422</v>
      </c>
      <c r="Q11" s="264" t="s">
        <v>423</v>
      </c>
      <c r="R11" s="264" t="s">
        <v>424</v>
      </c>
      <c r="S11" s="264" t="s">
        <v>425</v>
      </c>
      <c r="T11" s="264">
        <v>1</v>
      </c>
      <c r="U11" s="265">
        <v>1</v>
      </c>
      <c r="V11" s="265">
        <v>0</v>
      </c>
    </row>
    <row r="12" spans="2:22" ht="13.5">
      <c r="B12" s="6" t="s">
        <v>995</v>
      </c>
      <c r="C12" s="6" t="s">
        <v>996</v>
      </c>
      <c r="D12" s="263" t="s">
        <v>936</v>
      </c>
      <c r="E12" s="264">
        <v>19</v>
      </c>
      <c r="F12" s="264" t="s">
        <v>414</v>
      </c>
      <c r="G12" s="264">
        <v>530</v>
      </c>
      <c r="H12" s="264" t="s">
        <v>443</v>
      </c>
      <c r="I12" s="264" t="s">
        <v>416</v>
      </c>
      <c r="J12" s="264" t="s">
        <v>922</v>
      </c>
      <c r="K12" s="264" t="s">
        <v>426</v>
      </c>
      <c r="L12" s="264" t="s">
        <v>427</v>
      </c>
      <c r="M12" s="264" t="s">
        <v>428</v>
      </c>
      <c r="N12" s="265" t="s">
        <v>420</v>
      </c>
      <c r="O12" s="265" t="s">
        <v>421</v>
      </c>
      <c r="P12" s="264" t="s">
        <v>422</v>
      </c>
      <c r="Q12" s="264" t="s">
        <v>429</v>
      </c>
      <c r="R12" s="264" t="s">
        <v>424</v>
      </c>
      <c r="S12" s="264" t="s">
        <v>425</v>
      </c>
      <c r="T12" s="264">
        <v>1</v>
      </c>
      <c r="U12" s="265">
        <v>1</v>
      </c>
      <c r="V12" s="265">
        <v>0</v>
      </c>
    </row>
    <row r="13" spans="2:22" ht="13.5">
      <c r="B13" s="6" t="s">
        <v>995</v>
      </c>
      <c r="C13" s="6" t="s">
        <v>996</v>
      </c>
      <c r="D13" s="263" t="s">
        <v>936</v>
      </c>
      <c r="E13" s="264">
        <v>19</v>
      </c>
      <c r="F13" s="264" t="s">
        <v>414</v>
      </c>
      <c r="G13" s="264">
        <v>530</v>
      </c>
      <c r="H13" s="264" t="s">
        <v>443</v>
      </c>
      <c r="I13" s="264" t="s">
        <v>416</v>
      </c>
      <c r="J13" s="264" t="s">
        <v>922</v>
      </c>
      <c r="K13" s="264" t="s">
        <v>430</v>
      </c>
      <c r="L13" s="264" t="s">
        <v>431</v>
      </c>
      <c r="M13" s="264" t="s">
        <v>432</v>
      </c>
      <c r="N13" s="265" t="s">
        <v>420</v>
      </c>
      <c r="O13" s="265" t="s">
        <v>421</v>
      </c>
      <c r="P13" s="264" t="s">
        <v>433</v>
      </c>
      <c r="Q13" s="264" t="s">
        <v>434</v>
      </c>
      <c r="R13" s="264" t="s">
        <v>424</v>
      </c>
      <c r="S13" s="264" t="s">
        <v>425</v>
      </c>
      <c r="T13" s="264">
        <v>1</v>
      </c>
      <c r="U13" s="265">
        <v>1</v>
      </c>
      <c r="V13" s="265">
        <v>0</v>
      </c>
    </row>
    <row r="14" spans="2:22" ht="13.5">
      <c r="B14" s="6" t="s">
        <v>995</v>
      </c>
      <c r="C14" s="6" t="s">
        <v>996</v>
      </c>
      <c r="D14" s="263" t="s">
        <v>936</v>
      </c>
      <c r="E14" s="264">
        <v>19</v>
      </c>
      <c r="F14" s="264" t="s">
        <v>414</v>
      </c>
      <c r="G14" s="264">
        <v>530</v>
      </c>
      <c r="H14" s="264" t="s">
        <v>443</v>
      </c>
      <c r="I14" s="264" t="s">
        <v>416</v>
      </c>
      <c r="J14" s="264" t="s">
        <v>922</v>
      </c>
      <c r="K14" s="264" t="s">
        <v>435</v>
      </c>
      <c r="L14" s="264" t="s">
        <v>436</v>
      </c>
      <c r="M14" s="264" t="s">
        <v>419</v>
      </c>
      <c r="N14" s="265" t="s">
        <v>420</v>
      </c>
      <c r="O14" s="265" t="s">
        <v>421</v>
      </c>
      <c r="P14" s="264" t="s">
        <v>437</v>
      </c>
      <c r="Q14" s="264" t="s">
        <v>438</v>
      </c>
      <c r="R14" s="264" t="s">
        <v>424</v>
      </c>
      <c r="S14" s="264" t="s">
        <v>425</v>
      </c>
      <c r="T14" s="264">
        <v>1</v>
      </c>
      <c r="U14" s="265">
        <v>1</v>
      </c>
      <c r="V14" s="265">
        <v>1</v>
      </c>
    </row>
    <row r="15" spans="2:22" ht="13.5">
      <c r="B15" s="6" t="s">
        <v>995</v>
      </c>
      <c r="C15" s="6" t="s">
        <v>996</v>
      </c>
      <c r="D15" s="263" t="s">
        <v>936</v>
      </c>
      <c r="E15" s="264">
        <v>19</v>
      </c>
      <c r="F15" s="264" t="s">
        <v>414</v>
      </c>
      <c r="G15" s="264">
        <v>530</v>
      </c>
      <c r="H15" s="264" t="s">
        <v>443</v>
      </c>
      <c r="I15" s="264" t="s">
        <v>416</v>
      </c>
      <c r="J15" s="264" t="s">
        <v>922</v>
      </c>
      <c r="K15" s="264" t="s">
        <v>439</v>
      </c>
      <c r="L15" s="264" t="s">
        <v>440</v>
      </c>
      <c r="M15" s="264" t="s">
        <v>441</v>
      </c>
      <c r="N15" s="265" t="s">
        <v>420</v>
      </c>
      <c r="O15" s="265" t="s">
        <v>421</v>
      </c>
      <c r="P15" s="264" t="s">
        <v>422</v>
      </c>
      <c r="Q15" s="264" t="s">
        <v>423</v>
      </c>
      <c r="R15" s="264" t="s">
        <v>424</v>
      </c>
      <c r="S15" s="264" t="s">
        <v>425</v>
      </c>
      <c r="T15" s="264">
        <v>1</v>
      </c>
      <c r="U15" s="265">
        <v>1</v>
      </c>
      <c r="V15" s="265">
        <v>0</v>
      </c>
    </row>
    <row r="16" spans="2:22" ht="13.5">
      <c r="B16" s="263" t="s">
        <v>154</v>
      </c>
      <c r="C16" s="263" t="s">
        <v>155</v>
      </c>
      <c r="D16" s="263" t="s">
        <v>937</v>
      </c>
      <c r="E16" s="264">
        <v>19</v>
      </c>
      <c r="F16" s="264" t="s">
        <v>414</v>
      </c>
      <c r="G16" s="264">
        <v>100</v>
      </c>
      <c r="H16" s="264" t="s">
        <v>415</v>
      </c>
      <c r="I16" s="264" t="s">
        <v>416</v>
      </c>
      <c r="J16" s="264" t="s">
        <v>923</v>
      </c>
      <c r="K16" s="264" t="s">
        <v>444</v>
      </c>
      <c r="L16" s="264" t="s">
        <v>445</v>
      </c>
      <c r="M16" s="264" t="s">
        <v>432</v>
      </c>
      <c r="N16" s="265" t="s">
        <v>446</v>
      </c>
      <c r="O16" s="265" t="s">
        <v>447</v>
      </c>
      <c r="P16" s="264" t="s">
        <v>448</v>
      </c>
      <c r="Q16" s="264" t="s">
        <v>449</v>
      </c>
      <c r="R16" s="264" t="s">
        <v>424</v>
      </c>
      <c r="S16" s="264" t="s">
        <v>425</v>
      </c>
      <c r="T16" s="264">
        <v>1</v>
      </c>
      <c r="U16" s="265">
        <v>1</v>
      </c>
      <c r="V16" s="265">
        <v>0</v>
      </c>
    </row>
    <row r="17" spans="2:22" ht="13.5">
      <c r="B17" s="263" t="s">
        <v>154</v>
      </c>
      <c r="C17" s="263" t="s">
        <v>155</v>
      </c>
      <c r="D17" s="263" t="s">
        <v>937</v>
      </c>
      <c r="E17" s="264">
        <v>19</v>
      </c>
      <c r="F17" s="264" t="s">
        <v>414</v>
      </c>
      <c r="G17" s="264">
        <v>100</v>
      </c>
      <c r="H17" s="264" t="s">
        <v>415</v>
      </c>
      <c r="I17" s="264" t="s">
        <v>416</v>
      </c>
      <c r="J17" s="264" t="s">
        <v>923</v>
      </c>
      <c r="K17" s="264" t="s">
        <v>450</v>
      </c>
      <c r="L17" s="264" t="s">
        <v>451</v>
      </c>
      <c r="M17" s="264" t="s">
        <v>428</v>
      </c>
      <c r="N17" s="265" t="s">
        <v>452</v>
      </c>
      <c r="O17" s="265" t="s">
        <v>453</v>
      </c>
      <c r="P17" s="264" t="s">
        <v>454</v>
      </c>
      <c r="Q17" s="264" t="s">
        <v>455</v>
      </c>
      <c r="R17" s="264" t="s">
        <v>424</v>
      </c>
      <c r="S17" s="264" t="s">
        <v>425</v>
      </c>
      <c r="T17" s="264">
        <v>1</v>
      </c>
      <c r="U17" s="265">
        <v>1</v>
      </c>
      <c r="V17" s="265">
        <v>0</v>
      </c>
    </row>
    <row r="18" spans="2:22" ht="13.5">
      <c r="B18" s="263" t="s">
        <v>154</v>
      </c>
      <c r="C18" s="263" t="s">
        <v>155</v>
      </c>
      <c r="D18" s="263" t="s">
        <v>937</v>
      </c>
      <c r="E18" s="264">
        <v>19</v>
      </c>
      <c r="F18" s="264" t="s">
        <v>414</v>
      </c>
      <c r="G18" s="264">
        <v>100</v>
      </c>
      <c r="H18" s="264" t="s">
        <v>415</v>
      </c>
      <c r="I18" s="264" t="s">
        <v>416</v>
      </c>
      <c r="J18" s="264" t="s">
        <v>923</v>
      </c>
      <c r="K18" s="264" t="s">
        <v>456</v>
      </c>
      <c r="L18" s="264" t="s">
        <v>457</v>
      </c>
      <c r="M18" s="264" t="s">
        <v>432</v>
      </c>
      <c r="N18" s="265" t="s">
        <v>452</v>
      </c>
      <c r="O18" s="265" t="s">
        <v>458</v>
      </c>
      <c r="P18" s="264" t="s">
        <v>459</v>
      </c>
      <c r="Q18" s="264" t="s">
        <v>460</v>
      </c>
      <c r="R18" s="264" t="s">
        <v>424</v>
      </c>
      <c r="S18" s="264" t="s">
        <v>425</v>
      </c>
      <c r="T18" s="264">
        <v>1</v>
      </c>
      <c r="U18" s="265">
        <v>1</v>
      </c>
      <c r="V18" s="265">
        <v>0</v>
      </c>
    </row>
    <row r="19" spans="2:22" ht="13.5">
      <c r="B19" s="263" t="s">
        <v>154</v>
      </c>
      <c r="C19" s="263" t="s">
        <v>155</v>
      </c>
      <c r="D19" s="263" t="s">
        <v>937</v>
      </c>
      <c r="E19" s="264">
        <v>19</v>
      </c>
      <c r="F19" s="264" t="s">
        <v>414</v>
      </c>
      <c r="G19" s="264">
        <v>100</v>
      </c>
      <c r="H19" s="264" t="s">
        <v>415</v>
      </c>
      <c r="I19" s="264" t="s">
        <v>416</v>
      </c>
      <c r="J19" s="264" t="s">
        <v>923</v>
      </c>
      <c r="K19" s="264" t="s">
        <v>461</v>
      </c>
      <c r="L19" s="264" t="s">
        <v>462</v>
      </c>
      <c r="M19" s="264" t="s">
        <v>428</v>
      </c>
      <c r="N19" s="265" t="s">
        <v>452</v>
      </c>
      <c r="O19" s="265" t="s">
        <v>453</v>
      </c>
      <c r="P19" s="264" t="s">
        <v>463</v>
      </c>
      <c r="Q19" s="264" t="s">
        <v>464</v>
      </c>
      <c r="R19" s="264" t="s">
        <v>424</v>
      </c>
      <c r="S19" s="264" t="s">
        <v>425</v>
      </c>
      <c r="T19" s="264">
        <v>1</v>
      </c>
      <c r="U19" s="265">
        <v>1</v>
      </c>
      <c r="V19" s="265">
        <v>0</v>
      </c>
    </row>
    <row r="20" spans="2:22" ht="13.5">
      <c r="B20" s="263" t="s">
        <v>154</v>
      </c>
      <c r="C20" s="263" t="s">
        <v>155</v>
      </c>
      <c r="D20" s="263" t="s">
        <v>937</v>
      </c>
      <c r="E20" s="264">
        <v>19</v>
      </c>
      <c r="F20" s="264" t="s">
        <v>414</v>
      </c>
      <c r="G20" s="264">
        <v>100</v>
      </c>
      <c r="H20" s="264" t="s">
        <v>415</v>
      </c>
      <c r="I20" s="264" t="s">
        <v>416</v>
      </c>
      <c r="J20" s="264" t="s">
        <v>923</v>
      </c>
      <c r="K20" s="264" t="s">
        <v>465</v>
      </c>
      <c r="L20" s="264" t="s">
        <v>466</v>
      </c>
      <c r="M20" s="264" t="s">
        <v>432</v>
      </c>
      <c r="N20" s="265" t="s">
        <v>452</v>
      </c>
      <c r="O20" s="265" t="s">
        <v>467</v>
      </c>
      <c r="P20" s="264" t="s">
        <v>468</v>
      </c>
      <c r="Q20" s="264" t="s">
        <v>469</v>
      </c>
      <c r="R20" s="264" t="s">
        <v>424</v>
      </c>
      <c r="S20" s="264" t="s">
        <v>425</v>
      </c>
      <c r="T20" s="264">
        <v>1</v>
      </c>
      <c r="U20" s="265">
        <v>1</v>
      </c>
      <c r="V20" s="265">
        <v>0</v>
      </c>
    </row>
    <row r="21" spans="2:22" ht="13.5">
      <c r="B21" s="263" t="s">
        <v>154</v>
      </c>
      <c r="C21" s="263" t="s">
        <v>155</v>
      </c>
      <c r="D21" s="263" t="s">
        <v>937</v>
      </c>
      <c r="E21" s="264">
        <v>19</v>
      </c>
      <c r="F21" s="264" t="s">
        <v>414</v>
      </c>
      <c r="G21" s="264">
        <v>100</v>
      </c>
      <c r="H21" s="264" t="s">
        <v>415</v>
      </c>
      <c r="I21" s="264" t="s">
        <v>416</v>
      </c>
      <c r="J21" s="264" t="s">
        <v>923</v>
      </c>
      <c r="K21" s="264" t="s">
        <v>450</v>
      </c>
      <c r="L21" s="264" t="s">
        <v>451</v>
      </c>
      <c r="M21" s="264" t="s">
        <v>428</v>
      </c>
      <c r="N21" s="265" t="s">
        <v>470</v>
      </c>
      <c r="O21" s="265" t="s">
        <v>471</v>
      </c>
      <c r="P21" s="264" t="s">
        <v>472</v>
      </c>
      <c r="Q21" s="264" t="s">
        <v>473</v>
      </c>
      <c r="R21" s="264" t="s">
        <v>424</v>
      </c>
      <c r="S21" s="264" t="s">
        <v>474</v>
      </c>
      <c r="T21" s="264">
        <v>1</v>
      </c>
      <c r="U21" s="265">
        <v>0</v>
      </c>
      <c r="V21" s="265">
        <v>1</v>
      </c>
    </row>
    <row r="22" spans="2:22" ht="13.5">
      <c r="B22" s="263" t="s">
        <v>150</v>
      </c>
      <c r="C22" s="263" t="s">
        <v>151</v>
      </c>
      <c r="D22" s="263" t="s">
        <v>938</v>
      </c>
      <c r="E22" s="264">
        <v>18</v>
      </c>
      <c r="F22" s="264" t="s">
        <v>442</v>
      </c>
      <c r="G22" s="264">
        <v>360</v>
      </c>
      <c r="H22" s="264" t="s">
        <v>475</v>
      </c>
      <c r="I22" s="264" t="s">
        <v>416</v>
      </c>
      <c r="J22" s="264" t="s">
        <v>924</v>
      </c>
      <c r="K22" s="264" t="s">
        <v>426</v>
      </c>
      <c r="L22" s="264" t="s">
        <v>427</v>
      </c>
      <c r="M22" s="264" t="s">
        <v>428</v>
      </c>
      <c r="N22" s="265" t="s">
        <v>476</v>
      </c>
      <c r="O22" s="265" t="s">
        <v>477</v>
      </c>
      <c r="P22" s="264" t="s">
        <v>478</v>
      </c>
      <c r="Q22" s="264" t="s">
        <v>479</v>
      </c>
      <c r="R22" s="264" t="s">
        <v>424</v>
      </c>
      <c r="S22" s="264" t="s">
        <v>425</v>
      </c>
      <c r="T22" s="264">
        <v>1</v>
      </c>
      <c r="U22" s="265">
        <v>1</v>
      </c>
      <c r="V22" s="265">
        <v>0</v>
      </c>
    </row>
    <row r="23" spans="2:22" ht="13.5">
      <c r="B23" s="263" t="s">
        <v>150</v>
      </c>
      <c r="C23" s="263" t="s">
        <v>151</v>
      </c>
      <c r="D23" s="263" t="s">
        <v>938</v>
      </c>
      <c r="E23" s="264">
        <v>18</v>
      </c>
      <c r="F23" s="264" t="s">
        <v>442</v>
      </c>
      <c r="G23" s="264">
        <v>360</v>
      </c>
      <c r="H23" s="264" t="s">
        <v>475</v>
      </c>
      <c r="I23" s="264" t="s">
        <v>416</v>
      </c>
      <c r="J23" s="264" t="s">
        <v>924</v>
      </c>
      <c r="K23" s="264" t="s">
        <v>480</v>
      </c>
      <c r="L23" s="264" t="s">
        <v>481</v>
      </c>
      <c r="M23" s="264" t="s">
        <v>482</v>
      </c>
      <c r="N23" s="265" t="s">
        <v>476</v>
      </c>
      <c r="O23" s="265" t="s">
        <v>477</v>
      </c>
      <c r="P23" s="264" t="s">
        <v>478</v>
      </c>
      <c r="Q23" s="264" t="s">
        <v>479</v>
      </c>
      <c r="R23" s="264" t="s">
        <v>424</v>
      </c>
      <c r="S23" s="264" t="s">
        <v>425</v>
      </c>
      <c r="T23" s="264">
        <v>1</v>
      </c>
      <c r="U23" s="265">
        <v>1</v>
      </c>
      <c r="V23" s="265">
        <v>0</v>
      </c>
    </row>
    <row r="24" spans="2:22" ht="13.5">
      <c r="B24" s="263" t="s">
        <v>150</v>
      </c>
      <c r="C24" s="263" t="s">
        <v>151</v>
      </c>
      <c r="D24" s="263" t="s">
        <v>938</v>
      </c>
      <c r="E24" s="264">
        <v>18</v>
      </c>
      <c r="F24" s="264" t="s">
        <v>442</v>
      </c>
      <c r="G24" s="264">
        <v>360</v>
      </c>
      <c r="H24" s="264" t="s">
        <v>475</v>
      </c>
      <c r="I24" s="264" t="s">
        <v>416</v>
      </c>
      <c r="J24" s="264" t="s">
        <v>924</v>
      </c>
      <c r="K24" s="264" t="s">
        <v>483</v>
      </c>
      <c r="L24" s="264" t="s">
        <v>484</v>
      </c>
      <c r="M24" s="264" t="s">
        <v>485</v>
      </c>
      <c r="N24" s="265" t="s">
        <v>476</v>
      </c>
      <c r="O24" s="265" t="s">
        <v>477</v>
      </c>
      <c r="P24" s="264" t="s">
        <v>478</v>
      </c>
      <c r="Q24" s="264" t="s">
        <v>479</v>
      </c>
      <c r="R24" s="264" t="s">
        <v>424</v>
      </c>
      <c r="S24" s="264" t="s">
        <v>425</v>
      </c>
      <c r="T24" s="264">
        <v>1</v>
      </c>
      <c r="U24" s="265">
        <v>1</v>
      </c>
      <c r="V24" s="265">
        <v>0</v>
      </c>
    </row>
    <row r="25" spans="2:22" ht="13.5">
      <c r="B25" s="263" t="s">
        <v>150</v>
      </c>
      <c r="C25" s="263" t="s">
        <v>151</v>
      </c>
      <c r="D25" s="263" t="s">
        <v>938</v>
      </c>
      <c r="E25" s="264">
        <v>18</v>
      </c>
      <c r="F25" s="264" t="s">
        <v>442</v>
      </c>
      <c r="G25" s="264">
        <v>360</v>
      </c>
      <c r="H25" s="264" t="s">
        <v>475</v>
      </c>
      <c r="I25" s="264" t="s">
        <v>416</v>
      </c>
      <c r="J25" s="264" t="s">
        <v>924</v>
      </c>
      <c r="K25" s="264" t="s">
        <v>486</v>
      </c>
      <c r="L25" s="264" t="s">
        <v>487</v>
      </c>
      <c r="M25" s="264" t="s">
        <v>482</v>
      </c>
      <c r="N25" s="265" t="s">
        <v>476</v>
      </c>
      <c r="O25" s="265" t="s">
        <v>477</v>
      </c>
      <c r="P25" s="264" t="s">
        <v>478</v>
      </c>
      <c r="Q25" s="264" t="s">
        <v>488</v>
      </c>
      <c r="R25" s="264" t="s">
        <v>424</v>
      </c>
      <c r="S25" s="264" t="s">
        <v>425</v>
      </c>
      <c r="T25" s="264">
        <v>1</v>
      </c>
      <c r="U25" s="265">
        <v>1</v>
      </c>
      <c r="V25" s="265">
        <v>0</v>
      </c>
    </row>
    <row r="26" spans="2:22" ht="13.5">
      <c r="B26" s="263" t="s">
        <v>150</v>
      </c>
      <c r="C26" s="263" t="s">
        <v>151</v>
      </c>
      <c r="D26" s="263" t="s">
        <v>938</v>
      </c>
      <c r="E26" s="264">
        <v>18</v>
      </c>
      <c r="F26" s="264" t="s">
        <v>442</v>
      </c>
      <c r="G26" s="264">
        <v>360</v>
      </c>
      <c r="H26" s="264" t="s">
        <v>475</v>
      </c>
      <c r="I26" s="264" t="s">
        <v>416</v>
      </c>
      <c r="J26" s="264" t="s">
        <v>924</v>
      </c>
      <c r="K26" s="264" t="s">
        <v>489</v>
      </c>
      <c r="L26" s="264" t="s">
        <v>490</v>
      </c>
      <c r="M26" s="264" t="s">
        <v>482</v>
      </c>
      <c r="N26" s="265" t="s">
        <v>476</v>
      </c>
      <c r="O26" s="265" t="s">
        <v>477</v>
      </c>
      <c r="P26" s="264" t="s">
        <v>478</v>
      </c>
      <c r="Q26" s="264" t="s">
        <v>479</v>
      </c>
      <c r="R26" s="264" t="s">
        <v>424</v>
      </c>
      <c r="S26" s="264" t="s">
        <v>425</v>
      </c>
      <c r="T26" s="264">
        <v>1</v>
      </c>
      <c r="U26" s="265">
        <v>1</v>
      </c>
      <c r="V26" s="265">
        <v>0</v>
      </c>
    </row>
    <row r="27" spans="2:22" ht="13.5">
      <c r="B27" s="263" t="s">
        <v>150</v>
      </c>
      <c r="C27" s="263" t="s">
        <v>151</v>
      </c>
      <c r="D27" s="263" t="s">
        <v>938</v>
      </c>
      <c r="E27" s="264">
        <v>18</v>
      </c>
      <c r="F27" s="264" t="s">
        <v>442</v>
      </c>
      <c r="G27" s="264">
        <v>360</v>
      </c>
      <c r="H27" s="264" t="s">
        <v>475</v>
      </c>
      <c r="I27" s="264" t="s">
        <v>416</v>
      </c>
      <c r="J27" s="264" t="s">
        <v>924</v>
      </c>
      <c r="K27" s="264" t="s">
        <v>491</v>
      </c>
      <c r="L27" s="264" t="s">
        <v>492</v>
      </c>
      <c r="M27" s="264" t="s">
        <v>493</v>
      </c>
      <c r="N27" s="265" t="s">
        <v>476</v>
      </c>
      <c r="O27" s="265" t="s">
        <v>477</v>
      </c>
      <c r="P27" s="264" t="s">
        <v>478</v>
      </c>
      <c r="Q27" s="264" t="s">
        <v>479</v>
      </c>
      <c r="R27" s="264" t="s">
        <v>424</v>
      </c>
      <c r="S27" s="264" t="s">
        <v>474</v>
      </c>
      <c r="T27" s="264">
        <v>1</v>
      </c>
      <c r="U27" s="265">
        <v>0</v>
      </c>
      <c r="V27" s="265">
        <v>1</v>
      </c>
    </row>
    <row r="28" spans="2:22" ht="13.5">
      <c r="B28" s="263" t="s">
        <v>152</v>
      </c>
      <c r="C28" s="263" t="s">
        <v>153</v>
      </c>
      <c r="D28" s="263" t="s">
        <v>939</v>
      </c>
      <c r="E28" s="264">
        <v>18</v>
      </c>
      <c r="F28" s="264" t="s">
        <v>442</v>
      </c>
      <c r="G28" s="264">
        <v>320</v>
      </c>
      <c r="H28" s="264" t="s">
        <v>415</v>
      </c>
      <c r="I28" s="264" t="s">
        <v>416</v>
      </c>
      <c r="J28" s="264" t="s">
        <v>925</v>
      </c>
      <c r="K28" s="264" t="s">
        <v>494</v>
      </c>
      <c r="L28" s="264" t="s">
        <v>495</v>
      </c>
      <c r="M28" s="264" t="s">
        <v>496</v>
      </c>
      <c r="N28" s="265" t="s">
        <v>497</v>
      </c>
      <c r="O28" s="265" t="s">
        <v>498</v>
      </c>
      <c r="P28" s="264" t="s">
        <v>499</v>
      </c>
      <c r="Q28" s="264" t="s">
        <v>500</v>
      </c>
      <c r="R28" s="264" t="s">
        <v>424</v>
      </c>
      <c r="S28" s="264" t="s">
        <v>425</v>
      </c>
      <c r="T28" s="264">
        <v>1</v>
      </c>
      <c r="U28" s="265">
        <v>1</v>
      </c>
      <c r="V28" s="265">
        <v>0</v>
      </c>
    </row>
    <row r="29" spans="2:22" ht="13.5">
      <c r="B29" s="263" t="s">
        <v>152</v>
      </c>
      <c r="C29" s="263" t="s">
        <v>153</v>
      </c>
      <c r="D29" s="263" t="s">
        <v>939</v>
      </c>
      <c r="E29" s="264">
        <v>18</v>
      </c>
      <c r="F29" s="264" t="s">
        <v>442</v>
      </c>
      <c r="G29" s="264">
        <v>320</v>
      </c>
      <c r="H29" s="264" t="s">
        <v>415</v>
      </c>
      <c r="I29" s="264" t="s">
        <v>416</v>
      </c>
      <c r="J29" s="264" t="s">
        <v>925</v>
      </c>
      <c r="K29" s="264" t="s">
        <v>501</v>
      </c>
      <c r="L29" s="264" t="s">
        <v>502</v>
      </c>
      <c r="M29" s="264" t="s">
        <v>441</v>
      </c>
      <c r="N29" s="265" t="s">
        <v>497</v>
      </c>
      <c r="O29" s="265" t="s">
        <v>498</v>
      </c>
      <c r="P29" s="264" t="s">
        <v>499</v>
      </c>
      <c r="Q29" s="264" t="s">
        <v>500</v>
      </c>
      <c r="R29" s="264" t="s">
        <v>424</v>
      </c>
      <c r="S29" s="264" t="s">
        <v>425</v>
      </c>
      <c r="T29" s="264">
        <v>1</v>
      </c>
      <c r="U29" s="265">
        <v>1</v>
      </c>
      <c r="V29" s="265">
        <v>0</v>
      </c>
    </row>
    <row r="30" spans="2:22" ht="13.5">
      <c r="B30" s="263" t="s">
        <v>152</v>
      </c>
      <c r="C30" s="263" t="s">
        <v>153</v>
      </c>
      <c r="D30" s="263" t="s">
        <v>939</v>
      </c>
      <c r="E30" s="264">
        <v>18</v>
      </c>
      <c r="F30" s="264" t="s">
        <v>442</v>
      </c>
      <c r="G30" s="264">
        <v>320</v>
      </c>
      <c r="H30" s="264" t="s">
        <v>415</v>
      </c>
      <c r="I30" s="264" t="s">
        <v>416</v>
      </c>
      <c r="J30" s="264" t="s">
        <v>925</v>
      </c>
      <c r="K30" s="264" t="s">
        <v>503</v>
      </c>
      <c r="L30" s="264" t="s">
        <v>504</v>
      </c>
      <c r="M30" s="264" t="s">
        <v>505</v>
      </c>
      <c r="N30" s="265" t="s">
        <v>497</v>
      </c>
      <c r="O30" s="265" t="s">
        <v>506</v>
      </c>
      <c r="P30" s="264" t="s">
        <v>499</v>
      </c>
      <c r="Q30" s="264" t="s">
        <v>507</v>
      </c>
      <c r="R30" s="264" t="s">
        <v>424</v>
      </c>
      <c r="S30" s="264" t="s">
        <v>425</v>
      </c>
      <c r="T30" s="264">
        <v>1</v>
      </c>
      <c r="U30" s="265">
        <v>1</v>
      </c>
      <c r="V30" s="265">
        <v>0</v>
      </c>
    </row>
    <row r="31" spans="2:22" ht="13.5">
      <c r="B31" s="263" t="s">
        <v>152</v>
      </c>
      <c r="C31" s="263" t="s">
        <v>153</v>
      </c>
      <c r="D31" s="263" t="s">
        <v>939</v>
      </c>
      <c r="E31" s="264">
        <v>18</v>
      </c>
      <c r="F31" s="264" t="s">
        <v>442</v>
      </c>
      <c r="G31" s="264">
        <v>320</v>
      </c>
      <c r="H31" s="264" t="s">
        <v>415</v>
      </c>
      <c r="I31" s="264" t="s">
        <v>416</v>
      </c>
      <c r="J31" s="264" t="s">
        <v>925</v>
      </c>
      <c r="K31" s="264" t="s">
        <v>508</v>
      </c>
      <c r="L31" s="264" t="s">
        <v>509</v>
      </c>
      <c r="M31" s="264" t="s">
        <v>510</v>
      </c>
      <c r="N31" s="265" t="s">
        <v>497</v>
      </c>
      <c r="O31" s="265" t="s">
        <v>511</v>
      </c>
      <c r="P31" s="264" t="s">
        <v>512</v>
      </c>
      <c r="Q31" s="264" t="s">
        <v>513</v>
      </c>
      <c r="R31" s="264" t="s">
        <v>424</v>
      </c>
      <c r="S31" s="264" t="s">
        <v>425</v>
      </c>
      <c r="T31" s="264">
        <v>1</v>
      </c>
      <c r="U31" s="265">
        <v>1</v>
      </c>
      <c r="V31" s="265">
        <v>0</v>
      </c>
    </row>
    <row r="32" spans="2:22" ht="13.5">
      <c r="B32" s="263" t="s">
        <v>152</v>
      </c>
      <c r="C32" s="263" t="s">
        <v>153</v>
      </c>
      <c r="D32" s="263" t="s">
        <v>939</v>
      </c>
      <c r="E32" s="264">
        <v>18</v>
      </c>
      <c r="F32" s="264" t="s">
        <v>442</v>
      </c>
      <c r="G32" s="264">
        <v>320</v>
      </c>
      <c r="H32" s="264" t="s">
        <v>415</v>
      </c>
      <c r="I32" s="264" t="s">
        <v>416</v>
      </c>
      <c r="J32" s="264" t="s">
        <v>925</v>
      </c>
      <c r="K32" s="264" t="s">
        <v>514</v>
      </c>
      <c r="L32" s="264" t="s">
        <v>515</v>
      </c>
      <c r="M32" s="264" t="s">
        <v>496</v>
      </c>
      <c r="N32" s="265" t="s">
        <v>497</v>
      </c>
      <c r="O32" s="265" t="s">
        <v>506</v>
      </c>
      <c r="P32" s="264" t="s">
        <v>499</v>
      </c>
      <c r="Q32" s="264" t="s">
        <v>500</v>
      </c>
      <c r="R32" s="264" t="s">
        <v>424</v>
      </c>
      <c r="S32" s="264" t="s">
        <v>425</v>
      </c>
      <c r="T32" s="264">
        <v>1</v>
      </c>
      <c r="U32" s="265">
        <v>1</v>
      </c>
      <c r="V32" s="265">
        <v>0</v>
      </c>
    </row>
    <row r="33" spans="2:22" ht="13.5">
      <c r="B33" s="263" t="s">
        <v>156</v>
      </c>
      <c r="C33" s="263" t="s">
        <v>157</v>
      </c>
      <c r="D33" s="263" t="s">
        <v>940</v>
      </c>
      <c r="E33" s="264">
        <v>18</v>
      </c>
      <c r="F33" s="264" t="s">
        <v>442</v>
      </c>
      <c r="G33" s="264">
        <v>380</v>
      </c>
      <c r="H33" s="264" t="s">
        <v>415</v>
      </c>
      <c r="I33" s="264" t="s">
        <v>416</v>
      </c>
      <c r="J33" s="264" t="s">
        <v>926</v>
      </c>
      <c r="K33" s="264" t="s">
        <v>516</v>
      </c>
      <c r="L33" s="264" t="s">
        <v>517</v>
      </c>
      <c r="M33" s="264" t="s">
        <v>485</v>
      </c>
      <c r="N33" s="265" t="s">
        <v>476</v>
      </c>
      <c r="O33" s="265" t="s">
        <v>518</v>
      </c>
      <c r="P33" s="264" t="s">
        <v>519</v>
      </c>
      <c r="Q33" s="264" t="s">
        <v>520</v>
      </c>
      <c r="R33" s="264" t="s">
        <v>424</v>
      </c>
      <c r="S33" s="264" t="s">
        <v>425</v>
      </c>
      <c r="T33" s="264">
        <v>1</v>
      </c>
      <c r="U33" s="265">
        <v>1</v>
      </c>
      <c r="V33" s="265">
        <v>0</v>
      </c>
    </row>
    <row r="34" spans="2:22" ht="13.5">
      <c r="B34" s="263" t="s">
        <v>156</v>
      </c>
      <c r="C34" s="263" t="s">
        <v>157</v>
      </c>
      <c r="D34" s="263" t="s">
        <v>940</v>
      </c>
      <c r="E34" s="264">
        <v>18</v>
      </c>
      <c r="F34" s="264" t="s">
        <v>442</v>
      </c>
      <c r="G34" s="264">
        <v>380</v>
      </c>
      <c r="H34" s="264" t="s">
        <v>415</v>
      </c>
      <c r="I34" s="264" t="s">
        <v>416</v>
      </c>
      <c r="J34" s="264" t="s">
        <v>926</v>
      </c>
      <c r="K34" s="264" t="s">
        <v>521</v>
      </c>
      <c r="L34" s="264" t="s">
        <v>522</v>
      </c>
      <c r="M34" s="264" t="s">
        <v>493</v>
      </c>
      <c r="N34" s="265" t="s">
        <v>476</v>
      </c>
      <c r="O34" s="265" t="s">
        <v>523</v>
      </c>
      <c r="P34" s="264" t="s">
        <v>524</v>
      </c>
      <c r="Q34" s="264" t="s">
        <v>525</v>
      </c>
      <c r="R34" s="264" t="s">
        <v>424</v>
      </c>
      <c r="S34" s="264" t="s">
        <v>425</v>
      </c>
      <c r="T34" s="264">
        <v>1</v>
      </c>
      <c r="U34" s="265">
        <v>1</v>
      </c>
      <c r="V34" s="265">
        <v>1</v>
      </c>
    </row>
    <row r="35" spans="2:22" ht="13.5">
      <c r="B35" s="263" t="s">
        <v>156</v>
      </c>
      <c r="C35" s="263" t="s">
        <v>157</v>
      </c>
      <c r="D35" s="263" t="s">
        <v>940</v>
      </c>
      <c r="E35" s="264">
        <v>18</v>
      </c>
      <c r="F35" s="264" t="s">
        <v>442</v>
      </c>
      <c r="G35" s="264">
        <v>380</v>
      </c>
      <c r="H35" s="264" t="s">
        <v>415</v>
      </c>
      <c r="I35" s="264" t="s">
        <v>416</v>
      </c>
      <c r="J35" s="264" t="s">
        <v>926</v>
      </c>
      <c r="K35" s="264" t="s">
        <v>526</v>
      </c>
      <c r="L35" s="264" t="s">
        <v>527</v>
      </c>
      <c r="M35" s="264" t="s">
        <v>428</v>
      </c>
      <c r="N35" s="265" t="s">
        <v>476</v>
      </c>
      <c r="O35" s="265" t="s">
        <v>518</v>
      </c>
      <c r="P35" s="264" t="s">
        <v>528</v>
      </c>
      <c r="Q35" s="264" t="s">
        <v>529</v>
      </c>
      <c r="R35" s="264" t="s">
        <v>424</v>
      </c>
      <c r="S35" s="264" t="s">
        <v>425</v>
      </c>
      <c r="T35" s="264">
        <v>1</v>
      </c>
      <c r="U35" s="265">
        <v>1</v>
      </c>
      <c r="V35" s="265">
        <v>0</v>
      </c>
    </row>
    <row r="36" spans="2:22" ht="13.5">
      <c r="B36" s="263" t="s">
        <v>156</v>
      </c>
      <c r="C36" s="263" t="s">
        <v>157</v>
      </c>
      <c r="D36" s="263" t="s">
        <v>940</v>
      </c>
      <c r="E36" s="264">
        <v>18</v>
      </c>
      <c r="F36" s="264" t="s">
        <v>442</v>
      </c>
      <c r="G36" s="264">
        <v>380</v>
      </c>
      <c r="H36" s="264" t="s">
        <v>415</v>
      </c>
      <c r="I36" s="264" t="s">
        <v>416</v>
      </c>
      <c r="J36" s="264" t="s">
        <v>926</v>
      </c>
      <c r="K36" s="264" t="s">
        <v>530</v>
      </c>
      <c r="L36" s="264" t="s">
        <v>531</v>
      </c>
      <c r="M36" s="264" t="s">
        <v>428</v>
      </c>
      <c r="N36" s="265" t="s">
        <v>476</v>
      </c>
      <c r="O36" s="265" t="s">
        <v>518</v>
      </c>
      <c r="P36" s="264" t="s">
        <v>532</v>
      </c>
      <c r="Q36" s="264" t="s">
        <v>529</v>
      </c>
      <c r="R36" s="264" t="s">
        <v>424</v>
      </c>
      <c r="S36" s="264" t="s">
        <v>425</v>
      </c>
      <c r="T36" s="264">
        <v>1</v>
      </c>
      <c r="U36" s="265">
        <v>1</v>
      </c>
      <c r="V36" s="265">
        <v>0</v>
      </c>
    </row>
    <row r="37" spans="2:22" ht="13.5">
      <c r="B37" s="263" t="s">
        <v>156</v>
      </c>
      <c r="C37" s="263" t="s">
        <v>157</v>
      </c>
      <c r="D37" s="263" t="s">
        <v>940</v>
      </c>
      <c r="E37" s="264">
        <v>18</v>
      </c>
      <c r="F37" s="264" t="s">
        <v>442</v>
      </c>
      <c r="G37" s="264">
        <v>380</v>
      </c>
      <c r="H37" s="264" t="s">
        <v>415</v>
      </c>
      <c r="I37" s="264" t="s">
        <v>416</v>
      </c>
      <c r="J37" s="264" t="s">
        <v>926</v>
      </c>
      <c r="K37" s="264" t="s">
        <v>533</v>
      </c>
      <c r="L37" s="264" t="s">
        <v>534</v>
      </c>
      <c r="M37" s="264" t="s">
        <v>493</v>
      </c>
      <c r="N37" s="265" t="s">
        <v>476</v>
      </c>
      <c r="O37" s="265" t="s">
        <v>523</v>
      </c>
      <c r="P37" s="264" t="s">
        <v>535</v>
      </c>
      <c r="Q37" s="264" t="s">
        <v>536</v>
      </c>
      <c r="R37" s="264" t="s">
        <v>424</v>
      </c>
      <c r="S37" s="264" t="s">
        <v>425</v>
      </c>
      <c r="T37" s="264">
        <v>1</v>
      </c>
      <c r="U37" s="265">
        <v>1</v>
      </c>
      <c r="V37" s="265">
        <v>0</v>
      </c>
    </row>
    <row r="38" spans="2:22" ht="13.5">
      <c r="B38" s="263" t="s">
        <v>158</v>
      </c>
      <c r="C38" s="263" t="s">
        <v>159</v>
      </c>
      <c r="D38" s="263" t="s">
        <v>941</v>
      </c>
      <c r="E38" s="264">
        <v>18</v>
      </c>
      <c r="F38" s="264" t="s">
        <v>414</v>
      </c>
      <c r="G38" s="264">
        <v>350</v>
      </c>
      <c r="H38" s="264" t="s">
        <v>415</v>
      </c>
      <c r="I38" s="264" t="s">
        <v>416</v>
      </c>
      <c r="J38" s="264" t="s">
        <v>927</v>
      </c>
      <c r="K38" s="264" t="s">
        <v>537</v>
      </c>
      <c r="L38" s="264" t="s">
        <v>340</v>
      </c>
      <c r="M38" s="264" t="s">
        <v>538</v>
      </c>
      <c r="N38" s="265" t="s">
        <v>452</v>
      </c>
      <c r="O38" s="265" t="s">
        <v>467</v>
      </c>
      <c r="P38" s="264" t="s">
        <v>539</v>
      </c>
      <c r="Q38" s="264" t="s">
        <v>540</v>
      </c>
      <c r="R38" s="264" t="s">
        <v>424</v>
      </c>
      <c r="S38" s="264" t="s">
        <v>425</v>
      </c>
      <c r="T38" s="264">
        <v>1</v>
      </c>
      <c r="U38" s="265">
        <v>1</v>
      </c>
      <c r="V38" s="265">
        <v>1</v>
      </c>
    </row>
    <row r="39" spans="2:22" ht="13.5">
      <c r="B39" s="263" t="s">
        <v>158</v>
      </c>
      <c r="C39" s="263" t="s">
        <v>159</v>
      </c>
      <c r="D39" s="263" t="s">
        <v>941</v>
      </c>
      <c r="E39" s="264">
        <v>18</v>
      </c>
      <c r="F39" s="264" t="s">
        <v>414</v>
      </c>
      <c r="G39" s="264">
        <v>350</v>
      </c>
      <c r="H39" s="264" t="s">
        <v>415</v>
      </c>
      <c r="I39" s="264" t="s">
        <v>416</v>
      </c>
      <c r="J39" s="264" t="s">
        <v>927</v>
      </c>
      <c r="K39" s="264" t="s">
        <v>456</v>
      </c>
      <c r="L39" s="264" t="s">
        <v>457</v>
      </c>
      <c r="M39" s="264" t="s">
        <v>432</v>
      </c>
      <c r="N39" s="265" t="s">
        <v>452</v>
      </c>
      <c r="O39" s="265" t="s">
        <v>541</v>
      </c>
      <c r="P39" s="264" t="s">
        <v>542</v>
      </c>
      <c r="Q39" s="264" t="s">
        <v>543</v>
      </c>
      <c r="R39" s="264" t="s">
        <v>424</v>
      </c>
      <c r="S39" s="264" t="s">
        <v>425</v>
      </c>
      <c r="T39" s="264">
        <v>1</v>
      </c>
      <c r="U39" s="265">
        <v>1</v>
      </c>
      <c r="V39" s="265">
        <v>0</v>
      </c>
    </row>
    <row r="40" spans="2:22" ht="13.5">
      <c r="B40" s="263" t="s">
        <v>158</v>
      </c>
      <c r="C40" s="263" t="s">
        <v>159</v>
      </c>
      <c r="D40" s="263" t="s">
        <v>941</v>
      </c>
      <c r="E40" s="264">
        <v>18</v>
      </c>
      <c r="F40" s="264" t="s">
        <v>414</v>
      </c>
      <c r="G40" s="264">
        <v>350</v>
      </c>
      <c r="H40" s="264" t="s">
        <v>415</v>
      </c>
      <c r="I40" s="264" t="s">
        <v>416</v>
      </c>
      <c r="J40" s="264" t="s">
        <v>927</v>
      </c>
      <c r="K40" s="264" t="s">
        <v>544</v>
      </c>
      <c r="L40" s="264" t="s">
        <v>545</v>
      </c>
      <c r="M40" s="264" t="s">
        <v>538</v>
      </c>
      <c r="N40" s="265" t="s">
        <v>452</v>
      </c>
      <c r="O40" s="265" t="s">
        <v>541</v>
      </c>
      <c r="P40" s="264" t="s">
        <v>542</v>
      </c>
      <c r="Q40" s="264" t="s">
        <v>469</v>
      </c>
      <c r="R40" s="264" t="s">
        <v>424</v>
      </c>
      <c r="S40" s="264" t="s">
        <v>425</v>
      </c>
      <c r="T40" s="264">
        <v>1</v>
      </c>
      <c r="U40" s="265">
        <v>1</v>
      </c>
      <c r="V40" s="265">
        <v>0</v>
      </c>
    </row>
    <row r="41" spans="2:22" ht="13.5">
      <c r="B41" s="263" t="s">
        <v>158</v>
      </c>
      <c r="C41" s="263" t="s">
        <v>159</v>
      </c>
      <c r="D41" s="263" t="s">
        <v>941</v>
      </c>
      <c r="E41" s="264">
        <v>18</v>
      </c>
      <c r="F41" s="264" t="s">
        <v>414</v>
      </c>
      <c r="G41" s="264">
        <v>350</v>
      </c>
      <c r="H41" s="264" t="s">
        <v>415</v>
      </c>
      <c r="I41" s="264" t="s">
        <v>416</v>
      </c>
      <c r="J41" s="264" t="s">
        <v>927</v>
      </c>
      <c r="K41" s="264" t="s">
        <v>546</v>
      </c>
      <c r="L41" s="264" t="s">
        <v>547</v>
      </c>
      <c r="M41" s="264" t="s">
        <v>419</v>
      </c>
      <c r="N41" s="265" t="s">
        <v>452</v>
      </c>
      <c r="O41" s="265" t="s">
        <v>467</v>
      </c>
      <c r="P41" s="264" t="s">
        <v>468</v>
      </c>
      <c r="Q41" s="264" t="s">
        <v>469</v>
      </c>
      <c r="R41" s="264" t="s">
        <v>424</v>
      </c>
      <c r="S41" s="264" t="s">
        <v>425</v>
      </c>
      <c r="T41" s="264">
        <v>1</v>
      </c>
      <c r="U41" s="265">
        <v>1</v>
      </c>
      <c r="V41" s="265">
        <v>0</v>
      </c>
    </row>
    <row r="42" spans="2:22" ht="13.5">
      <c r="B42" s="263" t="s">
        <v>158</v>
      </c>
      <c r="C42" s="263" t="s">
        <v>159</v>
      </c>
      <c r="D42" s="263" t="s">
        <v>941</v>
      </c>
      <c r="E42" s="264">
        <v>18</v>
      </c>
      <c r="F42" s="264" t="s">
        <v>414</v>
      </c>
      <c r="G42" s="264">
        <v>350</v>
      </c>
      <c r="H42" s="264" t="s">
        <v>415</v>
      </c>
      <c r="I42" s="264" t="s">
        <v>416</v>
      </c>
      <c r="J42" s="264" t="s">
        <v>927</v>
      </c>
      <c r="K42" s="264" t="s">
        <v>417</v>
      </c>
      <c r="L42" s="264" t="s">
        <v>418</v>
      </c>
      <c r="M42" s="264" t="s">
        <v>419</v>
      </c>
      <c r="N42" s="265" t="s">
        <v>452</v>
      </c>
      <c r="O42" s="265" t="s">
        <v>467</v>
      </c>
      <c r="P42" s="264" t="s">
        <v>468</v>
      </c>
      <c r="Q42" s="264" t="s">
        <v>548</v>
      </c>
      <c r="R42" s="264" t="s">
        <v>424</v>
      </c>
      <c r="S42" s="264" t="s">
        <v>425</v>
      </c>
      <c r="T42" s="264">
        <v>1</v>
      </c>
      <c r="U42" s="265">
        <v>1</v>
      </c>
      <c r="V42" s="265">
        <v>0</v>
      </c>
    </row>
    <row r="43" spans="2:22" ht="13.5">
      <c r="B43" s="263" t="s">
        <v>160</v>
      </c>
      <c r="C43" s="263" t="s">
        <v>161</v>
      </c>
      <c r="D43" s="263" t="s">
        <v>942</v>
      </c>
      <c r="E43" s="264">
        <v>18</v>
      </c>
      <c r="F43" s="264" t="s">
        <v>442</v>
      </c>
      <c r="G43" s="264">
        <v>600</v>
      </c>
      <c r="H43" s="264" t="s">
        <v>415</v>
      </c>
      <c r="I43" s="264" t="s">
        <v>416</v>
      </c>
      <c r="J43" s="264" t="s">
        <v>928</v>
      </c>
      <c r="K43" s="264" t="s">
        <v>483</v>
      </c>
      <c r="L43" s="264" t="s">
        <v>484</v>
      </c>
      <c r="M43" s="264" t="s">
        <v>485</v>
      </c>
      <c r="N43" s="265" t="s">
        <v>549</v>
      </c>
      <c r="O43" s="265" t="s">
        <v>550</v>
      </c>
      <c r="P43" s="264" t="s">
        <v>551</v>
      </c>
      <c r="Q43" s="264" t="s">
        <v>552</v>
      </c>
      <c r="R43" s="264" t="s">
        <v>424</v>
      </c>
      <c r="S43" s="264" t="s">
        <v>425</v>
      </c>
      <c r="T43" s="264">
        <v>1</v>
      </c>
      <c r="U43" s="265">
        <v>1</v>
      </c>
      <c r="V43" s="265">
        <v>0</v>
      </c>
    </row>
    <row r="44" spans="2:22" ht="13.5">
      <c r="B44" s="263" t="s">
        <v>160</v>
      </c>
      <c r="C44" s="263" t="s">
        <v>161</v>
      </c>
      <c r="D44" s="263" t="s">
        <v>942</v>
      </c>
      <c r="E44" s="264">
        <v>18</v>
      </c>
      <c r="F44" s="264" t="s">
        <v>442</v>
      </c>
      <c r="G44" s="264">
        <v>600</v>
      </c>
      <c r="H44" s="264" t="s">
        <v>415</v>
      </c>
      <c r="I44" s="264" t="s">
        <v>416</v>
      </c>
      <c r="J44" s="264" t="s">
        <v>928</v>
      </c>
      <c r="K44" s="264" t="s">
        <v>553</v>
      </c>
      <c r="L44" s="264" t="s">
        <v>554</v>
      </c>
      <c r="M44" s="264" t="s">
        <v>496</v>
      </c>
      <c r="N44" s="265" t="s">
        <v>549</v>
      </c>
      <c r="O44" s="265" t="s">
        <v>555</v>
      </c>
      <c r="P44" s="264" t="s">
        <v>556</v>
      </c>
      <c r="Q44" s="264" t="s">
        <v>557</v>
      </c>
      <c r="R44" s="264" t="s">
        <v>424</v>
      </c>
      <c r="S44" s="264" t="s">
        <v>425</v>
      </c>
      <c r="T44" s="264">
        <v>1</v>
      </c>
      <c r="U44" s="265">
        <v>1</v>
      </c>
      <c r="V44" s="265">
        <v>0</v>
      </c>
    </row>
    <row r="45" spans="2:22" ht="13.5">
      <c r="B45" s="263" t="s">
        <v>160</v>
      </c>
      <c r="C45" s="263" t="s">
        <v>161</v>
      </c>
      <c r="D45" s="263" t="s">
        <v>942</v>
      </c>
      <c r="E45" s="264">
        <v>18</v>
      </c>
      <c r="F45" s="264" t="s">
        <v>442</v>
      </c>
      <c r="G45" s="264">
        <v>600</v>
      </c>
      <c r="H45" s="264" t="s">
        <v>415</v>
      </c>
      <c r="I45" s="264" t="s">
        <v>416</v>
      </c>
      <c r="J45" s="264" t="s">
        <v>928</v>
      </c>
      <c r="K45" s="264" t="s">
        <v>558</v>
      </c>
      <c r="L45" s="264" t="s">
        <v>559</v>
      </c>
      <c r="M45" s="264" t="s">
        <v>493</v>
      </c>
      <c r="N45" s="265" t="s">
        <v>549</v>
      </c>
      <c r="O45" s="265" t="s">
        <v>550</v>
      </c>
      <c r="P45" s="264" t="s">
        <v>560</v>
      </c>
      <c r="Q45" s="264" t="s">
        <v>561</v>
      </c>
      <c r="R45" s="264" t="s">
        <v>424</v>
      </c>
      <c r="S45" s="264" t="s">
        <v>425</v>
      </c>
      <c r="T45" s="264">
        <v>1</v>
      </c>
      <c r="U45" s="265">
        <v>1</v>
      </c>
      <c r="V45" s="265">
        <v>1</v>
      </c>
    </row>
    <row r="46" spans="2:22" ht="13.5">
      <c r="B46" s="263" t="s">
        <v>160</v>
      </c>
      <c r="C46" s="263" t="s">
        <v>161</v>
      </c>
      <c r="D46" s="263" t="s">
        <v>942</v>
      </c>
      <c r="E46" s="264">
        <v>18</v>
      </c>
      <c r="F46" s="264" t="s">
        <v>442</v>
      </c>
      <c r="G46" s="264">
        <v>600</v>
      </c>
      <c r="H46" s="264" t="s">
        <v>415</v>
      </c>
      <c r="I46" s="264" t="s">
        <v>416</v>
      </c>
      <c r="J46" s="264" t="s">
        <v>928</v>
      </c>
      <c r="K46" s="264" t="s">
        <v>562</v>
      </c>
      <c r="L46" s="264" t="s">
        <v>563</v>
      </c>
      <c r="M46" s="264" t="s">
        <v>505</v>
      </c>
      <c r="N46" s="265" t="s">
        <v>549</v>
      </c>
      <c r="O46" s="265" t="s">
        <v>555</v>
      </c>
      <c r="P46" s="264" t="s">
        <v>556</v>
      </c>
      <c r="Q46" s="264" t="s">
        <v>564</v>
      </c>
      <c r="R46" s="264" t="s">
        <v>424</v>
      </c>
      <c r="S46" s="264" t="s">
        <v>425</v>
      </c>
      <c r="T46" s="264">
        <v>1</v>
      </c>
      <c r="U46" s="265">
        <v>1</v>
      </c>
      <c r="V46" s="265">
        <v>0</v>
      </c>
    </row>
    <row r="47" spans="2:22" ht="13.5">
      <c r="B47" s="263" t="s">
        <v>160</v>
      </c>
      <c r="C47" s="263" t="s">
        <v>161</v>
      </c>
      <c r="D47" s="263" t="s">
        <v>942</v>
      </c>
      <c r="E47" s="264">
        <v>18</v>
      </c>
      <c r="F47" s="264" t="s">
        <v>442</v>
      </c>
      <c r="G47" s="264">
        <v>600</v>
      </c>
      <c r="H47" s="264" t="s">
        <v>415</v>
      </c>
      <c r="I47" s="264" t="s">
        <v>416</v>
      </c>
      <c r="J47" s="264" t="s">
        <v>928</v>
      </c>
      <c r="K47" s="264" t="s">
        <v>417</v>
      </c>
      <c r="L47" s="264" t="s">
        <v>418</v>
      </c>
      <c r="M47" s="264" t="s">
        <v>419</v>
      </c>
      <c r="N47" s="265" t="s">
        <v>549</v>
      </c>
      <c r="O47" s="265" t="s">
        <v>550</v>
      </c>
      <c r="P47" s="264" t="s">
        <v>551</v>
      </c>
      <c r="Q47" s="264" t="s">
        <v>561</v>
      </c>
      <c r="R47" s="264" t="s">
        <v>424</v>
      </c>
      <c r="S47" s="264" t="s">
        <v>425</v>
      </c>
      <c r="T47" s="264">
        <v>1</v>
      </c>
      <c r="U47" s="265">
        <v>1</v>
      </c>
      <c r="V47" s="265">
        <v>0</v>
      </c>
    </row>
    <row r="48" spans="2:22" ht="13.5">
      <c r="B48" s="263" t="s">
        <v>974</v>
      </c>
      <c r="C48" s="263" t="s">
        <v>975</v>
      </c>
      <c r="D48" s="263" t="s">
        <v>943</v>
      </c>
      <c r="E48" s="264">
        <v>18</v>
      </c>
      <c r="F48" s="264" t="s">
        <v>414</v>
      </c>
      <c r="G48" s="264">
        <v>350</v>
      </c>
      <c r="H48" s="264" t="s">
        <v>415</v>
      </c>
      <c r="I48" s="264" t="s">
        <v>416</v>
      </c>
      <c r="J48" s="264" t="s">
        <v>929</v>
      </c>
      <c r="K48" s="264" t="s">
        <v>565</v>
      </c>
      <c r="L48" s="264" t="s">
        <v>566</v>
      </c>
      <c r="M48" s="264" t="s">
        <v>441</v>
      </c>
      <c r="N48" s="265" t="s">
        <v>567</v>
      </c>
      <c r="O48" s="265" t="s">
        <v>568</v>
      </c>
      <c r="P48" s="264" t="s">
        <v>569</v>
      </c>
      <c r="Q48" s="264" t="s">
        <v>570</v>
      </c>
      <c r="R48" s="264" t="s">
        <v>424</v>
      </c>
      <c r="S48" s="264" t="s">
        <v>425</v>
      </c>
      <c r="T48" s="264">
        <v>1</v>
      </c>
      <c r="U48" s="265">
        <v>1</v>
      </c>
      <c r="V48" s="265">
        <v>0</v>
      </c>
    </row>
    <row r="49" spans="2:22" ht="13.5">
      <c r="B49" s="263" t="s">
        <v>974</v>
      </c>
      <c r="C49" s="263" t="s">
        <v>975</v>
      </c>
      <c r="D49" s="263" t="s">
        <v>943</v>
      </c>
      <c r="E49" s="264">
        <v>18</v>
      </c>
      <c r="F49" s="264" t="s">
        <v>414</v>
      </c>
      <c r="G49" s="264">
        <v>350</v>
      </c>
      <c r="H49" s="264" t="s">
        <v>415</v>
      </c>
      <c r="I49" s="264" t="s">
        <v>416</v>
      </c>
      <c r="J49" s="264" t="s">
        <v>929</v>
      </c>
      <c r="K49" s="264" t="s">
        <v>571</v>
      </c>
      <c r="L49" s="264" t="s">
        <v>572</v>
      </c>
      <c r="M49" s="264" t="s">
        <v>428</v>
      </c>
      <c r="N49" s="265" t="s">
        <v>497</v>
      </c>
      <c r="O49" s="265" t="s">
        <v>573</v>
      </c>
      <c r="P49" s="264" t="s">
        <v>574</v>
      </c>
      <c r="Q49" s="264" t="s">
        <v>575</v>
      </c>
      <c r="R49" s="264" t="s">
        <v>424</v>
      </c>
      <c r="S49" s="264" t="s">
        <v>425</v>
      </c>
      <c r="T49" s="264">
        <v>1</v>
      </c>
      <c r="U49" s="265">
        <v>1</v>
      </c>
      <c r="V49" s="265">
        <v>0</v>
      </c>
    </row>
    <row r="50" spans="2:22" ht="13.5">
      <c r="B50" s="263" t="s">
        <v>974</v>
      </c>
      <c r="C50" s="263" t="s">
        <v>975</v>
      </c>
      <c r="D50" s="263" t="s">
        <v>943</v>
      </c>
      <c r="E50" s="264">
        <v>18</v>
      </c>
      <c r="F50" s="264" t="s">
        <v>414</v>
      </c>
      <c r="G50" s="264">
        <v>350</v>
      </c>
      <c r="H50" s="264" t="s">
        <v>415</v>
      </c>
      <c r="I50" s="264" t="s">
        <v>416</v>
      </c>
      <c r="J50" s="264" t="s">
        <v>929</v>
      </c>
      <c r="K50" s="264" t="s">
        <v>576</v>
      </c>
      <c r="L50" s="264" t="s">
        <v>577</v>
      </c>
      <c r="M50" s="264" t="s">
        <v>428</v>
      </c>
      <c r="N50" s="265" t="s">
        <v>497</v>
      </c>
      <c r="O50" s="265" t="s">
        <v>573</v>
      </c>
      <c r="P50" s="264" t="s">
        <v>574</v>
      </c>
      <c r="Q50" s="264" t="s">
        <v>575</v>
      </c>
      <c r="R50" s="264" t="s">
        <v>424</v>
      </c>
      <c r="S50" s="264" t="s">
        <v>425</v>
      </c>
      <c r="T50" s="264">
        <v>1</v>
      </c>
      <c r="U50" s="265">
        <v>1</v>
      </c>
      <c r="V50" s="265">
        <v>0</v>
      </c>
    </row>
    <row r="51" spans="2:22" ht="13.5">
      <c r="B51" s="263" t="s">
        <v>974</v>
      </c>
      <c r="C51" s="263" t="s">
        <v>975</v>
      </c>
      <c r="D51" s="263" t="s">
        <v>943</v>
      </c>
      <c r="E51" s="264">
        <v>18</v>
      </c>
      <c r="F51" s="264" t="s">
        <v>414</v>
      </c>
      <c r="G51" s="264">
        <v>350</v>
      </c>
      <c r="H51" s="264" t="s">
        <v>415</v>
      </c>
      <c r="I51" s="264" t="s">
        <v>416</v>
      </c>
      <c r="J51" s="264" t="s">
        <v>929</v>
      </c>
      <c r="K51" s="264" t="s">
        <v>530</v>
      </c>
      <c r="L51" s="264" t="s">
        <v>531</v>
      </c>
      <c r="M51" s="264" t="s">
        <v>428</v>
      </c>
      <c r="N51" s="265" t="s">
        <v>567</v>
      </c>
      <c r="O51" s="265" t="s">
        <v>568</v>
      </c>
      <c r="P51" s="264" t="s">
        <v>578</v>
      </c>
      <c r="Q51" s="264" t="s">
        <v>579</v>
      </c>
      <c r="R51" s="264" t="s">
        <v>424</v>
      </c>
      <c r="S51" s="264" t="s">
        <v>425</v>
      </c>
      <c r="T51" s="264">
        <v>1</v>
      </c>
      <c r="U51" s="265">
        <v>1</v>
      </c>
      <c r="V51" s="265">
        <v>1</v>
      </c>
    </row>
    <row r="52" spans="2:22" ht="13.5">
      <c r="B52" s="263" t="s">
        <v>974</v>
      </c>
      <c r="C52" s="263" t="s">
        <v>975</v>
      </c>
      <c r="D52" s="263" t="s">
        <v>943</v>
      </c>
      <c r="E52" s="264">
        <v>18</v>
      </c>
      <c r="F52" s="264" t="s">
        <v>414</v>
      </c>
      <c r="G52" s="264">
        <v>350</v>
      </c>
      <c r="H52" s="264" t="s">
        <v>415</v>
      </c>
      <c r="I52" s="264" t="s">
        <v>416</v>
      </c>
      <c r="J52" s="264" t="s">
        <v>929</v>
      </c>
      <c r="K52" s="264" t="s">
        <v>580</v>
      </c>
      <c r="L52" s="264" t="s">
        <v>581</v>
      </c>
      <c r="M52" s="264" t="s">
        <v>432</v>
      </c>
      <c r="N52" s="265" t="s">
        <v>497</v>
      </c>
      <c r="O52" s="265" t="s">
        <v>573</v>
      </c>
      <c r="P52" s="264" t="s">
        <v>574</v>
      </c>
      <c r="Q52" s="264" t="s">
        <v>575</v>
      </c>
      <c r="R52" s="264" t="s">
        <v>424</v>
      </c>
      <c r="S52" s="264" t="s">
        <v>425</v>
      </c>
      <c r="T52" s="264">
        <v>1</v>
      </c>
      <c r="U52" s="265">
        <v>1</v>
      </c>
      <c r="V52" s="265">
        <v>0</v>
      </c>
    </row>
    <row r="53" spans="2:22" ht="13.5">
      <c r="B53" s="263" t="s">
        <v>997</v>
      </c>
      <c r="C53" s="263" t="s">
        <v>996</v>
      </c>
      <c r="D53" s="263" t="s">
        <v>944</v>
      </c>
      <c r="E53" s="264">
        <v>19</v>
      </c>
      <c r="F53" s="264" t="s">
        <v>442</v>
      </c>
      <c r="G53" s="264">
        <v>166</v>
      </c>
      <c r="H53" s="264" t="s">
        <v>443</v>
      </c>
      <c r="I53" s="264" t="s">
        <v>416</v>
      </c>
      <c r="J53" s="264" t="s">
        <v>930</v>
      </c>
      <c r="K53" s="264" t="s">
        <v>582</v>
      </c>
      <c r="L53" s="264" t="s">
        <v>583</v>
      </c>
      <c r="M53" s="264" t="s">
        <v>538</v>
      </c>
      <c r="N53" s="265" t="s">
        <v>470</v>
      </c>
      <c r="O53" s="265" t="s">
        <v>471</v>
      </c>
      <c r="P53" s="264" t="s">
        <v>584</v>
      </c>
      <c r="Q53" s="264" t="s">
        <v>585</v>
      </c>
      <c r="R53" s="264" t="s">
        <v>586</v>
      </c>
      <c r="S53" s="264" t="s">
        <v>425</v>
      </c>
      <c r="T53" s="264">
        <v>1</v>
      </c>
      <c r="U53" s="265">
        <v>1</v>
      </c>
      <c r="V53" s="265">
        <v>0</v>
      </c>
    </row>
    <row r="54" spans="2:22" ht="13.5">
      <c r="B54" s="263" t="s">
        <v>978</v>
      </c>
      <c r="C54" s="263" t="s">
        <v>979</v>
      </c>
      <c r="D54" s="263" t="s">
        <v>945</v>
      </c>
      <c r="E54" s="264">
        <v>18</v>
      </c>
      <c r="F54" s="264" t="s">
        <v>442</v>
      </c>
      <c r="G54" s="264">
        <v>480</v>
      </c>
      <c r="H54" s="264" t="s">
        <v>415</v>
      </c>
      <c r="I54" s="264" t="s">
        <v>416</v>
      </c>
      <c r="J54" s="264" t="s">
        <v>931</v>
      </c>
      <c r="K54" s="264" t="s">
        <v>426</v>
      </c>
      <c r="L54" s="264" t="s">
        <v>427</v>
      </c>
      <c r="M54" s="264" t="s">
        <v>428</v>
      </c>
      <c r="N54" s="265" t="s">
        <v>587</v>
      </c>
      <c r="O54" s="265" t="s">
        <v>588</v>
      </c>
      <c r="P54" s="264" t="s">
        <v>589</v>
      </c>
      <c r="Q54" s="264" t="s">
        <v>590</v>
      </c>
      <c r="R54" s="264" t="s">
        <v>424</v>
      </c>
      <c r="S54" s="264" t="s">
        <v>425</v>
      </c>
      <c r="T54" s="264">
        <v>1</v>
      </c>
      <c r="U54" s="265">
        <v>1</v>
      </c>
      <c r="V54" s="265">
        <v>1</v>
      </c>
    </row>
    <row r="55" spans="2:22" ht="13.5">
      <c r="B55" s="263" t="s">
        <v>978</v>
      </c>
      <c r="C55" s="263" t="s">
        <v>979</v>
      </c>
      <c r="D55" s="263" t="s">
        <v>945</v>
      </c>
      <c r="E55" s="264">
        <v>18</v>
      </c>
      <c r="F55" s="264" t="s">
        <v>442</v>
      </c>
      <c r="G55" s="264">
        <v>480</v>
      </c>
      <c r="H55" s="264" t="s">
        <v>415</v>
      </c>
      <c r="I55" s="264" t="s">
        <v>416</v>
      </c>
      <c r="J55" s="264" t="s">
        <v>931</v>
      </c>
      <c r="K55" s="264" t="s">
        <v>576</v>
      </c>
      <c r="L55" s="264" t="s">
        <v>577</v>
      </c>
      <c r="M55" s="264" t="s">
        <v>428</v>
      </c>
      <c r="N55" s="265" t="s">
        <v>591</v>
      </c>
      <c r="O55" s="265" t="s">
        <v>592</v>
      </c>
      <c r="P55" s="264" t="s">
        <v>593</v>
      </c>
      <c r="Q55" s="264" t="s">
        <v>594</v>
      </c>
      <c r="R55" s="264" t="s">
        <v>424</v>
      </c>
      <c r="S55" s="264" t="s">
        <v>425</v>
      </c>
      <c r="T55" s="264">
        <v>1</v>
      </c>
      <c r="U55" s="265">
        <v>1</v>
      </c>
      <c r="V55" s="265">
        <v>0</v>
      </c>
    </row>
    <row r="56" spans="2:22" ht="13.5">
      <c r="B56" s="263" t="s">
        <v>978</v>
      </c>
      <c r="C56" s="263" t="s">
        <v>979</v>
      </c>
      <c r="D56" s="263" t="s">
        <v>945</v>
      </c>
      <c r="E56" s="264">
        <v>18</v>
      </c>
      <c r="F56" s="264" t="s">
        <v>442</v>
      </c>
      <c r="G56" s="264">
        <v>480</v>
      </c>
      <c r="H56" s="264" t="s">
        <v>415</v>
      </c>
      <c r="I56" s="264" t="s">
        <v>416</v>
      </c>
      <c r="J56" s="264" t="s">
        <v>931</v>
      </c>
      <c r="K56" s="264" t="s">
        <v>430</v>
      </c>
      <c r="L56" s="264" t="s">
        <v>431</v>
      </c>
      <c r="M56" s="264" t="s">
        <v>432</v>
      </c>
      <c r="N56" s="265" t="s">
        <v>587</v>
      </c>
      <c r="O56" s="265" t="s">
        <v>588</v>
      </c>
      <c r="P56" s="264" t="s">
        <v>589</v>
      </c>
      <c r="Q56" s="264" t="s">
        <v>595</v>
      </c>
      <c r="R56" s="264" t="s">
        <v>424</v>
      </c>
      <c r="S56" s="264" t="s">
        <v>425</v>
      </c>
      <c r="T56" s="264">
        <v>1</v>
      </c>
      <c r="U56" s="265">
        <v>1</v>
      </c>
      <c r="V56" s="265">
        <v>0</v>
      </c>
    </row>
    <row r="57" spans="2:22" ht="13.5">
      <c r="B57" s="263" t="s">
        <v>978</v>
      </c>
      <c r="C57" s="263" t="s">
        <v>979</v>
      </c>
      <c r="D57" s="263" t="s">
        <v>945</v>
      </c>
      <c r="E57" s="264">
        <v>18</v>
      </c>
      <c r="F57" s="264" t="s">
        <v>442</v>
      </c>
      <c r="G57" s="264">
        <v>480</v>
      </c>
      <c r="H57" s="264" t="s">
        <v>415</v>
      </c>
      <c r="I57" s="264" t="s">
        <v>416</v>
      </c>
      <c r="J57" s="264" t="s">
        <v>931</v>
      </c>
      <c r="K57" s="264" t="s">
        <v>596</v>
      </c>
      <c r="L57" s="264" t="s">
        <v>597</v>
      </c>
      <c r="M57" s="264" t="s">
        <v>493</v>
      </c>
      <c r="N57" s="265" t="s">
        <v>587</v>
      </c>
      <c r="O57" s="265" t="s">
        <v>588</v>
      </c>
      <c r="P57" s="264" t="s">
        <v>589</v>
      </c>
      <c r="Q57" s="264" t="s">
        <v>595</v>
      </c>
      <c r="R57" s="264" t="s">
        <v>424</v>
      </c>
      <c r="S57" s="264" t="s">
        <v>425</v>
      </c>
      <c r="T57" s="264">
        <v>1</v>
      </c>
      <c r="U57" s="265">
        <v>1</v>
      </c>
      <c r="V57" s="265">
        <v>0</v>
      </c>
    </row>
    <row r="58" spans="2:22" ht="13.5">
      <c r="B58" s="263" t="s">
        <v>978</v>
      </c>
      <c r="C58" s="263" t="s">
        <v>979</v>
      </c>
      <c r="D58" s="263" t="s">
        <v>945</v>
      </c>
      <c r="E58" s="264">
        <v>18</v>
      </c>
      <c r="F58" s="264" t="s">
        <v>442</v>
      </c>
      <c r="G58" s="264">
        <v>480</v>
      </c>
      <c r="H58" s="264" t="s">
        <v>415</v>
      </c>
      <c r="I58" s="264" t="s">
        <v>416</v>
      </c>
      <c r="J58" s="264" t="s">
        <v>931</v>
      </c>
      <c r="K58" s="264" t="s">
        <v>483</v>
      </c>
      <c r="L58" s="264" t="s">
        <v>484</v>
      </c>
      <c r="M58" s="264" t="s">
        <v>485</v>
      </c>
      <c r="N58" s="265" t="s">
        <v>587</v>
      </c>
      <c r="O58" s="265" t="s">
        <v>588</v>
      </c>
      <c r="P58" s="264" t="s">
        <v>589</v>
      </c>
      <c r="Q58" s="264" t="s">
        <v>598</v>
      </c>
      <c r="R58" s="264" t="s">
        <v>424</v>
      </c>
      <c r="S58" s="264" t="s">
        <v>425</v>
      </c>
      <c r="T58" s="264">
        <v>1</v>
      </c>
      <c r="U58" s="265">
        <v>1</v>
      </c>
      <c r="V58" s="265">
        <v>0</v>
      </c>
    </row>
    <row r="59" spans="2:22" ht="13.5">
      <c r="B59" s="263" t="s">
        <v>980</v>
      </c>
      <c r="C59" s="263" t="s">
        <v>981</v>
      </c>
      <c r="D59" s="263" t="s">
        <v>946</v>
      </c>
      <c r="E59" s="264">
        <v>18</v>
      </c>
      <c r="F59" s="264" t="s">
        <v>442</v>
      </c>
      <c r="G59" s="264">
        <v>320</v>
      </c>
      <c r="H59" s="264" t="s">
        <v>415</v>
      </c>
      <c r="I59" s="264" t="s">
        <v>416</v>
      </c>
      <c r="J59" s="264" t="s">
        <v>932</v>
      </c>
      <c r="K59" s="264" t="s">
        <v>558</v>
      </c>
      <c r="L59" s="264" t="s">
        <v>559</v>
      </c>
      <c r="M59" s="264" t="s">
        <v>493</v>
      </c>
      <c r="N59" s="265" t="s">
        <v>470</v>
      </c>
      <c r="O59" s="265" t="s">
        <v>471</v>
      </c>
      <c r="P59" s="264" t="s">
        <v>599</v>
      </c>
      <c r="Q59" s="264" t="s">
        <v>600</v>
      </c>
      <c r="R59" s="264" t="s">
        <v>424</v>
      </c>
      <c r="S59" s="264" t="s">
        <v>425</v>
      </c>
      <c r="T59" s="264">
        <v>1</v>
      </c>
      <c r="U59" s="265">
        <v>1</v>
      </c>
      <c r="V59" s="265">
        <v>0</v>
      </c>
    </row>
    <row r="60" spans="2:22" ht="13.5">
      <c r="B60" s="263" t="s">
        <v>980</v>
      </c>
      <c r="C60" s="263" t="s">
        <v>981</v>
      </c>
      <c r="D60" s="263" t="s">
        <v>946</v>
      </c>
      <c r="E60" s="264">
        <v>18</v>
      </c>
      <c r="F60" s="264" t="s">
        <v>442</v>
      </c>
      <c r="G60" s="264">
        <v>320</v>
      </c>
      <c r="H60" s="264" t="s">
        <v>415</v>
      </c>
      <c r="I60" s="264" t="s">
        <v>416</v>
      </c>
      <c r="J60" s="264" t="s">
        <v>932</v>
      </c>
      <c r="K60" s="264" t="s">
        <v>601</v>
      </c>
      <c r="L60" s="264" t="s">
        <v>602</v>
      </c>
      <c r="M60" s="264" t="s">
        <v>485</v>
      </c>
      <c r="N60" s="265" t="s">
        <v>470</v>
      </c>
      <c r="O60" s="265" t="s">
        <v>603</v>
      </c>
      <c r="P60" s="264" t="s">
        <v>604</v>
      </c>
      <c r="Q60" s="264" t="s">
        <v>585</v>
      </c>
      <c r="R60" s="264" t="s">
        <v>424</v>
      </c>
      <c r="S60" s="264" t="s">
        <v>425</v>
      </c>
      <c r="T60" s="264">
        <v>1</v>
      </c>
      <c r="U60" s="265">
        <v>1</v>
      </c>
      <c r="V60" s="265">
        <v>0</v>
      </c>
    </row>
    <row r="61" spans="2:22" ht="13.5">
      <c r="B61" s="263" t="s">
        <v>980</v>
      </c>
      <c r="C61" s="263" t="s">
        <v>981</v>
      </c>
      <c r="D61" s="263" t="s">
        <v>946</v>
      </c>
      <c r="E61" s="264">
        <v>18</v>
      </c>
      <c r="F61" s="264" t="s">
        <v>442</v>
      </c>
      <c r="G61" s="264">
        <v>320</v>
      </c>
      <c r="H61" s="264" t="s">
        <v>415</v>
      </c>
      <c r="I61" s="264" t="s">
        <v>416</v>
      </c>
      <c r="J61" s="264" t="s">
        <v>932</v>
      </c>
      <c r="K61" s="264" t="s">
        <v>605</v>
      </c>
      <c r="L61" s="264" t="s">
        <v>606</v>
      </c>
      <c r="M61" s="264" t="s">
        <v>493</v>
      </c>
      <c r="N61" s="265" t="s">
        <v>470</v>
      </c>
      <c r="O61" s="265" t="s">
        <v>471</v>
      </c>
      <c r="P61" s="264" t="s">
        <v>584</v>
      </c>
      <c r="Q61" s="264" t="s">
        <v>600</v>
      </c>
      <c r="R61" s="264" t="s">
        <v>424</v>
      </c>
      <c r="S61" s="264" t="s">
        <v>425</v>
      </c>
      <c r="T61" s="264">
        <v>1</v>
      </c>
      <c r="U61" s="265">
        <v>1</v>
      </c>
      <c r="V61" s="265">
        <v>1</v>
      </c>
    </row>
    <row r="62" spans="2:22" ht="13.5">
      <c r="B62" s="263" t="s">
        <v>980</v>
      </c>
      <c r="C62" s="263" t="s">
        <v>981</v>
      </c>
      <c r="D62" s="263" t="s">
        <v>946</v>
      </c>
      <c r="E62" s="264">
        <v>18</v>
      </c>
      <c r="F62" s="264" t="s">
        <v>442</v>
      </c>
      <c r="G62" s="264">
        <v>320</v>
      </c>
      <c r="H62" s="264" t="s">
        <v>415</v>
      </c>
      <c r="I62" s="264" t="s">
        <v>416</v>
      </c>
      <c r="J62" s="264" t="s">
        <v>932</v>
      </c>
      <c r="K62" s="264" t="s">
        <v>607</v>
      </c>
      <c r="L62" s="264" t="s">
        <v>608</v>
      </c>
      <c r="M62" s="264" t="s">
        <v>493</v>
      </c>
      <c r="N62" s="265" t="s">
        <v>470</v>
      </c>
      <c r="O62" s="265" t="s">
        <v>471</v>
      </c>
      <c r="P62" s="264" t="s">
        <v>609</v>
      </c>
      <c r="Q62" s="264" t="s">
        <v>610</v>
      </c>
      <c r="R62" s="264" t="s">
        <v>424</v>
      </c>
      <c r="S62" s="264" t="s">
        <v>425</v>
      </c>
      <c r="T62" s="264">
        <v>1</v>
      </c>
      <c r="U62" s="265">
        <v>1</v>
      </c>
      <c r="V62" s="265">
        <v>0</v>
      </c>
    </row>
    <row r="63" spans="2:22" ht="13.5">
      <c r="B63" s="263" t="s">
        <v>982</v>
      </c>
      <c r="C63" s="263" t="s">
        <v>983</v>
      </c>
      <c r="D63" s="263" t="s">
        <v>947</v>
      </c>
      <c r="E63" s="264">
        <v>18</v>
      </c>
      <c r="F63" s="264" t="s">
        <v>442</v>
      </c>
      <c r="G63" s="264">
        <v>340</v>
      </c>
      <c r="H63" s="264" t="s">
        <v>443</v>
      </c>
      <c r="I63" s="264" t="s">
        <v>416</v>
      </c>
      <c r="J63" s="264" t="s">
        <v>933</v>
      </c>
      <c r="K63" s="264" t="s">
        <v>435</v>
      </c>
      <c r="L63" s="264" t="s">
        <v>436</v>
      </c>
      <c r="M63" s="264" t="s">
        <v>419</v>
      </c>
      <c r="N63" s="265" t="s">
        <v>549</v>
      </c>
      <c r="O63" s="265" t="s">
        <v>611</v>
      </c>
      <c r="P63" s="264" t="s">
        <v>612</v>
      </c>
      <c r="Q63" s="264" t="s">
        <v>613</v>
      </c>
      <c r="R63" s="264" t="s">
        <v>424</v>
      </c>
      <c r="S63" s="264" t="s">
        <v>425</v>
      </c>
      <c r="T63" s="264">
        <v>1</v>
      </c>
      <c r="U63" s="265">
        <v>1</v>
      </c>
      <c r="V63" s="265">
        <v>0</v>
      </c>
    </row>
    <row r="64" spans="2:22" ht="13.5">
      <c r="B64" s="263" t="s">
        <v>982</v>
      </c>
      <c r="C64" s="263" t="s">
        <v>983</v>
      </c>
      <c r="D64" s="263" t="s">
        <v>947</v>
      </c>
      <c r="E64" s="264">
        <v>18</v>
      </c>
      <c r="F64" s="264" t="s">
        <v>442</v>
      </c>
      <c r="G64" s="264">
        <v>340</v>
      </c>
      <c r="H64" s="264" t="s">
        <v>443</v>
      </c>
      <c r="I64" s="264" t="s">
        <v>416</v>
      </c>
      <c r="J64" s="264" t="s">
        <v>933</v>
      </c>
      <c r="K64" s="264" t="s">
        <v>614</v>
      </c>
      <c r="L64" s="264" t="s">
        <v>615</v>
      </c>
      <c r="M64" s="264" t="s">
        <v>419</v>
      </c>
      <c r="N64" s="265" t="s">
        <v>616</v>
      </c>
      <c r="O64" s="265" t="s">
        <v>617</v>
      </c>
      <c r="P64" s="264" t="s">
        <v>618</v>
      </c>
      <c r="Q64" s="264" t="s">
        <v>613</v>
      </c>
      <c r="R64" s="264" t="s">
        <v>424</v>
      </c>
      <c r="S64" s="264" t="s">
        <v>425</v>
      </c>
      <c r="T64" s="264">
        <v>1</v>
      </c>
      <c r="U64" s="265">
        <v>1</v>
      </c>
      <c r="V64" s="265">
        <v>0</v>
      </c>
    </row>
    <row r="65" spans="2:22" ht="13.5">
      <c r="B65" s="263" t="s">
        <v>982</v>
      </c>
      <c r="C65" s="263" t="s">
        <v>983</v>
      </c>
      <c r="D65" s="263" t="s">
        <v>947</v>
      </c>
      <c r="E65" s="264">
        <v>18</v>
      </c>
      <c r="F65" s="264" t="s">
        <v>442</v>
      </c>
      <c r="G65" s="264">
        <v>340</v>
      </c>
      <c r="H65" s="264" t="s">
        <v>443</v>
      </c>
      <c r="I65" s="264" t="s">
        <v>416</v>
      </c>
      <c r="J65" s="264" t="s">
        <v>933</v>
      </c>
      <c r="K65" s="264" t="s">
        <v>417</v>
      </c>
      <c r="L65" s="264" t="s">
        <v>418</v>
      </c>
      <c r="M65" s="264" t="s">
        <v>419</v>
      </c>
      <c r="N65" s="265" t="s">
        <v>549</v>
      </c>
      <c r="O65" s="265" t="s">
        <v>619</v>
      </c>
      <c r="P65" s="264" t="s">
        <v>620</v>
      </c>
      <c r="Q65" s="264" t="s">
        <v>621</v>
      </c>
      <c r="R65" s="264" t="s">
        <v>424</v>
      </c>
      <c r="S65" s="264" t="s">
        <v>425</v>
      </c>
      <c r="T65" s="264">
        <v>1</v>
      </c>
      <c r="U65" s="265">
        <v>1</v>
      </c>
      <c r="V65" s="265">
        <v>0</v>
      </c>
    </row>
    <row r="66" spans="2:22" ht="13.5">
      <c r="B66" s="263" t="s">
        <v>982</v>
      </c>
      <c r="C66" s="263" t="s">
        <v>983</v>
      </c>
      <c r="D66" s="263" t="s">
        <v>947</v>
      </c>
      <c r="E66" s="264">
        <v>18</v>
      </c>
      <c r="F66" s="264" t="s">
        <v>442</v>
      </c>
      <c r="G66" s="264">
        <v>340</v>
      </c>
      <c r="H66" s="264" t="s">
        <v>443</v>
      </c>
      <c r="I66" s="264" t="s">
        <v>416</v>
      </c>
      <c r="J66" s="264" t="s">
        <v>933</v>
      </c>
      <c r="K66" s="264" t="s">
        <v>622</v>
      </c>
      <c r="L66" s="264" t="s">
        <v>623</v>
      </c>
      <c r="M66" s="264" t="s">
        <v>482</v>
      </c>
      <c r="N66" s="265" t="s">
        <v>616</v>
      </c>
      <c r="O66" s="265" t="s">
        <v>617</v>
      </c>
      <c r="P66" s="264" t="s">
        <v>624</v>
      </c>
      <c r="Q66" s="264" t="s">
        <v>625</v>
      </c>
      <c r="R66" s="264" t="s">
        <v>424</v>
      </c>
      <c r="S66" s="264" t="s">
        <v>425</v>
      </c>
      <c r="T66" s="264">
        <v>1</v>
      </c>
      <c r="U66" s="265">
        <v>1</v>
      </c>
      <c r="V66" s="265">
        <v>0</v>
      </c>
    </row>
    <row r="67" spans="2:22" ht="13.5">
      <c r="B67" s="263" t="s">
        <v>982</v>
      </c>
      <c r="C67" s="263" t="s">
        <v>983</v>
      </c>
      <c r="D67" s="263" t="s">
        <v>947</v>
      </c>
      <c r="E67" s="264">
        <v>18</v>
      </c>
      <c r="F67" s="264" t="s">
        <v>442</v>
      </c>
      <c r="G67" s="264">
        <v>340</v>
      </c>
      <c r="H67" s="264" t="s">
        <v>443</v>
      </c>
      <c r="I67" s="264" t="s">
        <v>416</v>
      </c>
      <c r="J67" s="264" t="s">
        <v>933</v>
      </c>
      <c r="K67" s="264" t="s">
        <v>626</v>
      </c>
      <c r="L67" s="264" t="s">
        <v>627</v>
      </c>
      <c r="M67" s="264" t="s">
        <v>510</v>
      </c>
      <c r="N67" s="265" t="s">
        <v>616</v>
      </c>
      <c r="O67" s="265" t="s">
        <v>617</v>
      </c>
      <c r="P67" s="264" t="s">
        <v>628</v>
      </c>
      <c r="Q67" s="264" t="s">
        <v>613</v>
      </c>
      <c r="R67" s="264" t="s">
        <v>424</v>
      </c>
      <c r="S67" s="264" t="s">
        <v>425</v>
      </c>
      <c r="T67" s="264">
        <v>1</v>
      </c>
      <c r="U67" s="265">
        <v>1</v>
      </c>
      <c r="V67" s="265">
        <v>0</v>
      </c>
    </row>
    <row r="68" spans="2:22" ht="13.5">
      <c r="B68" s="263" t="s">
        <v>982</v>
      </c>
      <c r="C68" s="263" t="s">
        <v>983</v>
      </c>
      <c r="D68" s="263" t="s">
        <v>947</v>
      </c>
      <c r="E68" s="264">
        <v>18</v>
      </c>
      <c r="F68" s="264" t="s">
        <v>442</v>
      </c>
      <c r="G68" s="264">
        <v>340</v>
      </c>
      <c r="H68" s="264" t="s">
        <v>443</v>
      </c>
      <c r="I68" s="264" t="s">
        <v>416</v>
      </c>
      <c r="J68" s="264" t="s">
        <v>933</v>
      </c>
      <c r="K68" s="264" t="s">
        <v>508</v>
      </c>
      <c r="L68" s="264" t="s">
        <v>509</v>
      </c>
      <c r="M68" s="264" t="s">
        <v>510</v>
      </c>
      <c r="N68" s="265" t="s">
        <v>616</v>
      </c>
      <c r="O68" s="265" t="s">
        <v>617</v>
      </c>
      <c r="P68" s="264" t="s">
        <v>629</v>
      </c>
      <c r="Q68" s="264" t="s">
        <v>613</v>
      </c>
      <c r="R68" s="264" t="s">
        <v>424</v>
      </c>
      <c r="S68" s="264" t="s">
        <v>474</v>
      </c>
      <c r="T68" s="264">
        <v>1</v>
      </c>
      <c r="U68" s="265">
        <v>0</v>
      </c>
      <c r="V68" s="265">
        <v>1</v>
      </c>
    </row>
    <row r="69" spans="2:22" ht="13.5">
      <c r="B69" s="263" t="s">
        <v>156</v>
      </c>
      <c r="C69" s="263" t="s">
        <v>984</v>
      </c>
      <c r="D69" s="263" t="s">
        <v>948</v>
      </c>
      <c r="E69" s="264">
        <v>18</v>
      </c>
      <c r="F69" s="264" t="s">
        <v>442</v>
      </c>
      <c r="G69" s="264">
        <v>300</v>
      </c>
      <c r="H69" s="264" t="s">
        <v>415</v>
      </c>
      <c r="I69" s="264" t="s">
        <v>416</v>
      </c>
      <c r="J69" s="264" t="s">
        <v>934</v>
      </c>
      <c r="K69" s="264" t="s">
        <v>546</v>
      </c>
      <c r="L69" s="264" t="s">
        <v>547</v>
      </c>
      <c r="M69" s="264" t="s">
        <v>419</v>
      </c>
      <c r="N69" s="265" t="s">
        <v>630</v>
      </c>
      <c r="O69" s="265" t="s">
        <v>631</v>
      </c>
      <c r="P69" s="264" t="s">
        <v>632</v>
      </c>
      <c r="Q69" s="264" t="s">
        <v>633</v>
      </c>
      <c r="R69" s="264" t="s">
        <v>424</v>
      </c>
      <c r="S69" s="264" t="s">
        <v>425</v>
      </c>
      <c r="T69" s="264">
        <v>1</v>
      </c>
      <c r="U69" s="265">
        <v>1</v>
      </c>
      <c r="V69" s="265">
        <v>0</v>
      </c>
    </row>
    <row r="70" spans="2:22" ht="13.5">
      <c r="B70" s="263" t="s">
        <v>156</v>
      </c>
      <c r="C70" s="263" t="s">
        <v>984</v>
      </c>
      <c r="D70" s="263" t="s">
        <v>948</v>
      </c>
      <c r="E70" s="264">
        <v>18</v>
      </c>
      <c r="F70" s="264" t="s">
        <v>442</v>
      </c>
      <c r="G70" s="264">
        <v>300</v>
      </c>
      <c r="H70" s="264" t="s">
        <v>415</v>
      </c>
      <c r="I70" s="264" t="s">
        <v>416</v>
      </c>
      <c r="J70" s="264" t="s">
        <v>934</v>
      </c>
      <c r="K70" s="264" t="s">
        <v>634</v>
      </c>
      <c r="L70" s="264" t="s">
        <v>635</v>
      </c>
      <c r="M70" s="264" t="s">
        <v>428</v>
      </c>
      <c r="N70" s="265" t="s">
        <v>636</v>
      </c>
      <c r="O70" s="265" t="s">
        <v>637</v>
      </c>
      <c r="P70" s="264" t="s">
        <v>638</v>
      </c>
      <c r="Q70" s="264" t="s">
        <v>633</v>
      </c>
      <c r="R70" s="264" t="s">
        <v>424</v>
      </c>
      <c r="S70" s="264" t="s">
        <v>425</v>
      </c>
      <c r="T70" s="264">
        <v>1</v>
      </c>
      <c r="U70" s="265">
        <v>1</v>
      </c>
      <c r="V70" s="265">
        <v>0</v>
      </c>
    </row>
    <row r="71" spans="2:22" ht="13.5">
      <c r="B71" s="263" t="s">
        <v>156</v>
      </c>
      <c r="C71" s="263" t="s">
        <v>984</v>
      </c>
      <c r="D71" s="263" t="s">
        <v>948</v>
      </c>
      <c r="E71" s="264">
        <v>18</v>
      </c>
      <c r="F71" s="264" t="s">
        <v>442</v>
      </c>
      <c r="G71" s="264">
        <v>300</v>
      </c>
      <c r="H71" s="264" t="s">
        <v>415</v>
      </c>
      <c r="I71" s="264" t="s">
        <v>416</v>
      </c>
      <c r="J71" s="264" t="s">
        <v>934</v>
      </c>
      <c r="K71" s="264" t="s">
        <v>465</v>
      </c>
      <c r="L71" s="264" t="s">
        <v>466</v>
      </c>
      <c r="M71" s="264" t="s">
        <v>432</v>
      </c>
      <c r="N71" s="265" t="s">
        <v>639</v>
      </c>
      <c r="O71" s="265" t="s">
        <v>640</v>
      </c>
      <c r="P71" s="264" t="s">
        <v>641</v>
      </c>
      <c r="Q71" s="264" t="s">
        <v>633</v>
      </c>
      <c r="R71" s="264" t="s">
        <v>424</v>
      </c>
      <c r="S71" s="264" t="s">
        <v>425</v>
      </c>
      <c r="T71" s="264">
        <v>1</v>
      </c>
      <c r="U71" s="265">
        <v>1</v>
      </c>
      <c r="V71" s="265">
        <v>0</v>
      </c>
    </row>
    <row r="72" spans="2:22" ht="13.5">
      <c r="B72" s="263" t="s">
        <v>156</v>
      </c>
      <c r="C72" s="263" t="s">
        <v>984</v>
      </c>
      <c r="D72" s="263" t="s">
        <v>948</v>
      </c>
      <c r="E72" s="264">
        <v>18</v>
      </c>
      <c r="F72" s="264" t="s">
        <v>442</v>
      </c>
      <c r="G72" s="264">
        <v>300</v>
      </c>
      <c r="H72" s="264" t="s">
        <v>415</v>
      </c>
      <c r="I72" s="264" t="s">
        <v>416</v>
      </c>
      <c r="J72" s="264" t="s">
        <v>934</v>
      </c>
      <c r="K72" s="264" t="s">
        <v>642</v>
      </c>
      <c r="L72" s="264" t="s">
        <v>643</v>
      </c>
      <c r="M72" s="264" t="s">
        <v>485</v>
      </c>
      <c r="N72" s="265" t="s">
        <v>630</v>
      </c>
      <c r="O72" s="265" t="s">
        <v>631</v>
      </c>
      <c r="P72" s="264" t="s">
        <v>644</v>
      </c>
      <c r="Q72" s="264" t="s">
        <v>645</v>
      </c>
      <c r="R72" s="264" t="s">
        <v>424</v>
      </c>
      <c r="S72" s="264" t="s">
        <v>425</v>
      </c>
      <c r="T72" s="264">
        <v>1</v>
      </c>
      <c r="U72" s="265">
        <v>1</v>
      </c>
      <c r="V72" s="265">
        <v>1</v>
      </c>
    </row>
    <row r="73" spans="2:22" ht="13.5">
      <c r="B73" s="263" t="s">
        <v>156</v>
      </c>
      <c r="C73" s="263" t="s">
        <v>984</v>
      </c>
      <c r="D73" s="263" t="s">
        <v>948</v>
      </c>
      <c r="E73" s="264">
        <v>18</v>
      </c>
      <c r="F73" s="264" t="s">
        <v>442</v>
      </c>
      <c r="G73" s="264">
        <v>300</v>
      </c>
      <c r="H73" s="264" t="s">
        <v>415</v>
      </c>
      <c r="I73" s="264" t="s">
        <v>416</v>
      </c>
      <c r="J73" s="264" t="s">
        <v>934</v>
      </c>
      <c r="K73" s="264" t="s">
        <v>646</v>
      </c>
      <c r="L73" s="264" t="s">
        <v>647</v>
      </c>
      <c r="M73" s="264" t="s">
        <v>441</v>
      </c>
      <c r="N73" s="265" t="s">
        <v>630</v>
      </c>
      <c r="O73" s="265" t="s">
        <v>631</v>
      </c>
      <c r="P73" s="264" t="s">
        <v>632</v>
      </c>
      <c r="Q73" s="264" t="s">
        <v>648</v>
      </c>
      <c r="R73" s="264" t="s">
        <v>424</v>
      </c>
      <c r="S73" s="264" t="s">
        <v>425</v>
      </c>
      <c r="T73" s="264">
        <v>1</v>
      </c>
      <c r="U73" s="265">
        <v>1</v>
      </c>
      <c r="V73" s="265">
        <v>0</v>
      </c>
    </row>
    <row r="74" spans="2:22" ht="13.5">
      <c r="B74" s="263" t="s">
        <v>985</v>
      </c>
      <c r="C74" s="263" t="s">
        <v>986</v>
      </c>
      <c r="D74" s="263" t="s">
        <v>949</v>
      </c>
      <c r="E74" s="264">
        <v>19</v>
      </c>
      <c r="F74" s="264" t="s">
        <v>442</v>
      </c>
      <c r="G74" s="264">
        <v>330</v>
      </c>
      <c r="H74" s="264" t="s">
        <v>415</v>
      </c>
      <c r="I74" s="264" t="s">
        <v>416</v>
      </c>
      <c r="J74" s="264" t="s">
        <v>935</v>
      </c>
      <c r="K74" s="264" t="s">
        <v>605</v>
      </c>
      <c r="L74" s="264" t="s">
        <v>606</v>
      </c>
      <c r="M74" s="264" t="s">
        <v>493</v>
      </c>
      <c r="N74" s="265" t="s">
        <v>476</v>
      </c>
      <c r="O74" s="265" t="s">
        <v>649</v>
      </c>
      <c r="P74" s="264" t="s">
        <v>650</v>
      </c>
      <c r="Q74" s="264" t="s">
        <v>651</v>
      </c>
      <c r="R74" s="264" t="s">
        <v>424</v>
      </c>
      <c r="S74" s="264" t="s">
        <v>425</v>
      </c>
      <c r="T74" s="264">
        <v>1</v>
      </c>
      <c r="U74" s="265">
        <v>1</v>
      </c>
      <c r="V74" s="265">
        <v>0</v>
      </c>
    </row>
    <row r="75" spans="2:22" ht="13.5">
      <c r="B75" s="263" t="s">
        <v>985</v>
      </c>
      <c r="C75" s="263" t="s">
        <v>986</v>
      </c>
      <c r="D75" s="263" t="s">
        <v>949</v>
      </c>
      <c r="E75" s="264">
        <v>19</v>
      </c>
      <c r="F75" s="264" t="s">
        <v>442</v>
      </c>
      <c r="G75" s="264">
        <v>330</v>
      </c>
      <c r="H75" s="264" t="s">
        <v>415</v>
      </c>
      <c r="I75" s="264" t="s">
        <v>416</v>
      </c>
      <c r="J75" s="264" t="s">
        <v>935</v>
      </c>
      <c r="K75" s="264" t="s">
        <v>652</v>
      </c>
      <c r="L75" s="264" t="s">
        <v>653</v>
      </c>
      <c r="M75" s="264" t="s">
        <v>485</v>
      </c>
      <c r="N75" s="265" t="s">
        <v>476</v>
      </c>
      <c r="O75" s="265" t="s">
        <v>649</v>
      </c>
      <c r="P75" s="264" t="s">
        <v>650</v>
      </c>
      <c r="Q75" s="264" t="s">
        <v>654</v>
      </c>
      <c r="R75" s="264" t="s">
        <v>424</v>
      </c>
      <c r="S75" s="264" t="s">
        <v>425</v>
      </c>
      <c r="T75" s="264">
        <v>1</v>
      </c>
      <c r="U75" s="265">
        <v>1</v>
      </c>
      <c r="V75" s="265">
        <v>0</v>
      </c>
    </row>
    <row r="76" spans="2:22" ht="13.5">
      <c r="B76" s="263" t="s">
        <v>985</v>
      </c>
      <c r="C76" s="263" t="s">
        <v>986</v>
      </c>
      <c r="D76" s="263" t="s">
        <v>949</v>
      </c>
      <c r="E76" s="264">
        <v>19</v>
      </c>
      <c r="F76" s="264" t="s">
        <v>442</v>
      </c>
      <c r="G76" s="264">
        <v>330</v>
      </c>
      <c r="H76" s="264" t="s">
        <v>415</v>
      </c>
      <c r="I76" s="264" t="s">
        <v>416</v>
      </c>
      <c r="J76" s="264" t="s">
        <v>935</v>
      </c>
      <c r="K76" s="264" t="s">
        <v>430</v>
      </c>
      <c r="L76" s="264" t="s">
        <v>431</v>
      </c>
      <c r="M76" s="264" t="s">
        <v>432</v>
      </c>
      <c r="N76" s="265" t="s">
        <v>591</v>
      </c>
      <c r="O76" s="265" t="s">
        <v>655</v>
      </c>
      <c r="P76" s="264" t="s">
        <v>656</v>
      </c>
      <c r="Q76" s="264" t="s">
        <v>657</v>
      </c>
      <c r="R76" s="264" t="s">
        <v>424</v>
      </c>
      <c r="S76" s="264" t="s">
        <v>425</v>
      </c>
      <c r="T76" s="264">
        <v>1</v>
      </c>
      <c r="U76" s="265">
        <v>1</v>
      </c>
      <c r="V76" s="265">
        <v>0</v>
      </c>
    </row>
    <row r="77" spans="2:22" ht="13.5">
      <c r="B77" s="263" t="s">
        <v>985</v>
      </c>
      <c r="C77" s="263" t="s">
        <v>986</v>
      </c>
      <c r="D77" s="263" t="s">
        <v>949</v>
      </c>
      <c r="E77" s="264">
        <v>19</v>
      </c>
      <c r="F77" s="264" t="s">
        <v>442</v>
      </c>
      <c r="G77" s="264">
        <v>330</v>
      </c>
      <c r="H77" s="264" t="s">
        <v>415</v>
      </c>
      <c r="I77" s="264" t="s">
        <v>416</v>
      </c>
      <c r="J77" s="264" t="s">
        <v>935</v>
      </c>
      <c r="K77" s="264" t="s">
        <v>658</v>
      </c>
      <c r="L77" s="264" t="s">
        <v>659</v>
      </c>
      <c r="M77" s="264" t="s">
        <v>493</v>
      </c>
      <c r="N77" s="265" t="s">
        <v>616</v>
      </c>
      <c r="O77" s="265" t="s">
        <v>660</v>
      </c>
      <c r="P77" s="264" t="s">
        <v>661</v>
      </c>
      <c r="Q77" s="264" t="s">
        <v>662</v>
      </c>
      <c r="R77" s="264" t="s">
        <v>424</v>
      </c>
      <c r="S77" s="264" t="s">
        <v>425</v>
      </c>
      <c r="T77" s="264">
        <v>1</v>
      </c>
      <c r="U77" s="265">
        <v>1</v>
      </c>
      <c r="V77" s="265">
        <v>0</v>
      </c>
    </row>
    <row r="78" spans="2:22" ht="13.5">
      <c r="B78" s="263" t="s">
        <v>985</v>
      </c>
      <c r="C78" s="263" t="s">
        <v>986</v>
      </c>
      <c r="D78" s="263" t="s">
        <v>949</v>
      </c>
      <c r="E78" s="264">
        <v>19</v>
      </c>
      <c r="F78" s="264" t="s">
        <v>442</v>
      </c>
      <c r="G78" s="264">
        <v>330</v>
      </c>
      <c r="H78" s="264" t="s">
        <v>415</v>
      </c>
      <c r="I78" s="264" t="s">
        <v>416</v>
      </c>
      <c r="J78" s="264" t="s">
        <v>935</v>
      </c>
      <c r="K78" s="264" t="s">
        <v>642</v>
      </c>
      <c r="L78" s="264" t="s">
        <v>643</v>
      </c>
      <c r="M78" s="264" t="s">
        <v>485</v>
      </c>
      <c r="N78" s="265" t="s">
        <v>476</v>
      </c>
      <c r="O78" s="265" t="s">
        <v>649</v>
      </c>
      <c r="P78" s="264" t="s">
        <v>663</v>
      </c>
      <c r="Q78" s="264" t="s">
        <v>654</v>
      </c>
      <c r="R78" s="264" t="s">
        <v>424</v>
      </c>
      <c r="S78" s="264" t="s">
        <v>425</v>
      </c>
      <c r="T78" s="264">
        <v>1</v>
      </c>
      <c r="U78" s="265">
        <v>1</v>
      </c>
      <c r="V78" s="265">
        <v>1</v>
      </c>
    </row>
    <row r="79" spans="2:22" ht="13.5">
      <c r="B79" s="263" t="s">
        <v>976</v>
      </c>
      <c r="C79" s="263" t="s">
        <v>977</v>
      </c>
      <c r="D79" s="263" t="s">
        <v>950</v>
      </c>
      <c r="E79" s="264">
        <v>18</v>
      </c>
      <c r="F79" s="264" t="s">
        <v>414</v>
      </c>
      <c r="G79" s="264">
        <v>500</v>
      </c>
      <c r="H79" s="264" t="s">
        <v>676</v>
      </c>
      <c r="I79" s="264" t="s">
        <v>416</v>
      </c>
      <c r="J79" s="264" t="s">
        <v>933</v>
      </c>
      <c r="K79" s="264" t="s">
        <v>494</v>
      </c>
      <c r="L79" s="264" t="s">
        <v>495</v>
      </c>
      <c r="M79" s="264" t="s">
        <v>496</v>
      </c>
      <c r="N79" s="265" t="s">
        <v>497</v>
      </c>
      <c r="O79" s="265" t="s">
        <v>664</v>
      </c>
      <c r="P79" s="264" t="s">
        <v>665</v>
      </c>
      <c r="Q79" s="264" t="s">
        <v>666</v>
      </c>
      <c r="R79" s="264" t="s">
        <v>424</v>
      </c>
      <c r="S79" s="264" t="s">
        <v>425</v>
      </c>
      <c r="T79" s="264">
        <v>1</v>
      </c>
      <c r="U79" s="265">
        <v>1</v>
      </c>
      <c r="V79" s="265">
        <v>0</v>
      </c>
    </row>
    <row r="80" spans="2:22" ht="13.5">
      <c r="B80" s="263" t="s">
        <v>976</v>
      </c>
      <c r="C80" s="263" t="s">
        <v>977</v>
      </c>
      <c r="D80" s="263" t="s">
        <v>950</v>
      </c>
      <c r="E80" s="264">
        <v>18</v>
      </c>
      <c r="F80" s="264" t="s">
        <v>414</v>
      </c>
      <c r="G80" s="264">
        <v>500</v>
      </c>
      <c r="H80" s="264" t="s">
        <v>676</v>
      </c>
      <c r="I80" s="264" t="s">
        <v>416</v>
      </c>
      <c r="J80" s="264" t="s">
        <v>933</v>
      </c>
      <c r="K80" s="264" t="s">
        <v>553</v>
      </c>
      <c r="L80" s="264" t="s">
        <v>554</v>
      </c>
      <c r="M80" s="264" t="s">
        <v>496</v>
      </c>
      <c r="N80" s="265" t="s">
        <v>497</v>
      </c>
      <c r="O80" s="265" t="s">
        <v>664</v>
      </c>
      <c r="P80" s="264" t="s">
        <v>667</v>
      </c>
      <c r="Q80" s="264" t="s">
        <v>668</v>
      </c>
      <c r="R80" s="264" t="s">
        <v>424</v>
      </c>
      <c r="S80" s="264" t="s">
        <v>425</v>
      </c>
      <c r="T80" s="264">
        <v>1</v>
      </c>
      <c r="U80" s="265">
        <v>1</v>
      </c>
      <c r="V80" s="265">
        <v>0</v>
      </c>
    </row>
    <row r="81" spans="2:22" ht="13.5">
      <c r="B81" s="263" t="s">
        <v>976</v>
      </c>
      <c r="C81" s="263" t="s">
        <v>977</v>
      </c>
      <c r="D81" s="263" t="s">
        <v>950</v>
      </c>
      <c r="E81" s="264">
        <v>18</v>
      </c>
      <c r="F81" s="264" t="s">
        <v>414</v>
      </c>
      <c r="G81" s="264">
        <v>500</v>
      </c>
      <c r="H81" s="264" t="s">
        <v>676</v>
      </c>
      <c r="I81" s="264" t="s">
        <v>416</v>
      </c>
      <c r="J81" s="264" t="s">
        <v>933</v>
      </c>
      <c r="K81" s="264" t="s">
        <v>544</v>
      </c>
      <c r="L81" s="264" t="s">
        <v>545</v>
      </c>
      <c r="M81" s="264" t="s">
        <v>538</v>
      </c>
      <c r="N81" s="265" t="s">
        <v>497</v>
      </c>
      <c r="O81" s="265" t="s">
        <v>664</v>
      </c>
      <c r="P81" s="264" t="s">
        <v>665</v>
      </c>
      <c r="Q81" s="264" t="s">
        <v>666</v>
      </c>
      <c r="R81" s="264" t="s">
        <v>424</v>
      </c>
      <c r="S81" s="264" t="s">
        <v>425</v>
      </c>
      <c r="T81" s="264">
        <v>1</v>
      </c>
      <c r="U81" s="265">
        <v>1</v>
      </c>
      <c r="V81" s="265">
        <v>0</v>
      </c>
    </row>
    <row r="82" spans="2:22" ht="13.5">
      <c r="B82" s="263" t="s">
        <v>976</v>
      </c>
      <c r="C82" s="263" t="s">
        <v>977</v>
      </c>
      <c r="D82" s="263" t="s">
        <v>950</v>
      </c>
      <c r="E82" s="264">
        <v>18</v>
      </c>
      <c r="F82" s="264" t="s">
        <v>414</v>
      </c>
      <c r="G82" s="264">
        <v>500</v>
      </c>
      <c r="H82" s="264" t="s">
        <v>676</v>
      </c>
      <c r="I82" s="264" t="s">
        <v>416</v>
      </c>
      <c r="J82" s="264" t="s">
        <v>933</v>
      </c>
      <c r="K82" s="264" t="s">
        <v>669</v>
      </c>
      <c r="L82" s="264" t="s">
        <v>670</v>
      </c>
      <c r="M82" s="264" t="s">
        <v>493</v>
      </c>
      <c r="N82" s="265" t="s">
        <v>616</v>
      </c>
      <c r="O82" s="265" t="s">
        <v>660</v>
      </c>
      <c r="P82" s="264" t="s">
        <v>671</v>
      </c>
      <c r="Q82" s="264" t="s">
        <v>672</v>
      </c>
      <c r="R82" s="264" t="s">
        <v>424</v>
      </c>
      <c r="S82" s="264" t="s">
        <v>425</v>
      </c>
      <c r="T82" s="264">
        <v>1</v>
      </c>
      <c r="U82" s="265">
        <v>1</v>
      </c>
      <c r="V82" s="265">
        <v>0</v>
      </c>
    </row>
    <row r="83" spans="2:22" ht="13.5">
      <c r="B83" s="263" t="s">
        <v>976</v>
      </c>
      <c r="C83" s="263" t="s">
        <v>977</v>
      </c>
      <c r="D83" s="263" t="s">
        <v>950</v>
      </c>
      <c r="E83" s="264">
        <v>18</v>
      </c>
      <c r="F83" s="264" t="s">
        <v>414</v>
      </c>
      <c r="G83" s="264">
        <v>500</v>
      </c>
      <c r="H83" s="264" t="s">
        <v>676</v>
      </c>
      <c r="I83" s="264" t="s">
        <v>416</v>
      </c>
      <c r="J83" s="264" t="s">
        <v>933</v>
      </c>
      <c r="K83" s="264" t="s">
        <v>673</v>
      </c>
      <c r="L83" s="264" t="s">
        <v>333</v>
      </c>
      <c r="M83" s="264" t="s">
        <v>510</v>
      </c>
      <c r="N83" s="265" t="s">
        <v>497</v>
      </c>
      <c r="O83" s="265" t="s">
        <v>664</v>
      </c>
      <c r="P83" s="264" t="s">
        <v>665</v>
      </c>
      <c r="Q83" s="264" t="s">
        <v>674</v>
      </c>
      <c r="R83" s="264" t="s">
        <v>424</v>
      </c>
      <c r="S83" s="264" t="s">
        <v>425</v>
      </c>
      <c r="T83" s="264">
        <v>1</v>
      </c>
      <c r="U83" s="265">
        <v>1</v>
      </c>
      <c r="V83" s="265">
        <v>0</v>
      </c>
    </row>
    <row r="84" spans="2:22" ht="13.5">
      <c r="B84" s="263" t="s">
        <v>976</v>
      </c>
      <c r="C84" s="263" t="s">
        <v>977</v>
      </c>
      <c r="D84" s="263" t="s">
        <v>950</v>
      </c>
      <c r="E84" s="264">
        <v>18</v>
      </c>
      <c r="F84" s="264" t="s">
        <v>414</v>
      </c>
      <c r="G84" s="264">
        <v>500</v>
      </c>
      <c r="H84" s="264" t="s">
        <v>676</v>
      </c>
      <c r="I84" s="264" t="s">
        <v>416</v>
      </c>
      <c r="J84" s="264" t="s">
        <v>933</v>
      </c>
      <c r="K84" s="264" t="s">
        <v>501</v>
      </c>
      <c r="L84" s="264" t="s">
        <v>502</v>
      </c>
      <c r="M84" s="264" t="s">
        <v>441</v>
      </c>
      <c r="N84" s="265" t="s">
        <v>476</v>
      </c>
      <c r="O84" s="265" t="s">
        <v>523</v>
      </c>
      <c r="P84" s="264" t="s">
        <v>535</v>
      </c>
      <c r="Q84" s="264" t="s">
        <v>536</v>
      </c>
      <c r="R84" s="264" t="s">
        <v>424</v>
      </c>
      <c r="S84" s="264" t="s">
        <v>675</v>
      </c>
      <c r="T84" s="264">
        <v>1</v>
      </c>
      <c r="U84" s="265">
        <v>0</v>
      </c>
      <c r="V84" s="265">
        <v>1</v>
      </c>
    </row>
    <row r="85" spans="2:22" ht="13.5">
      <c r="B85" s="263" t="s">
        <v>987</v>
      </c>
      <c r="C85" s="263" t="s">
        <v>988</v>
      </c>
      <c r="D85" s="263" t="s">
        <v>951</v>
      </c>
      <c r="E85" s="264">
        <v>18</v>
      </c>
      <c r="F85" s="264" t="s">
        <v>442</v>
      </c>
      <c r="G85" s="264">
        <v>501</v>
      </c>
      <c r="H85" s="264" t="s">
        <v>415</v>
      </c>
      <c r="I85" s="264" t="s">
        <v>416</v>
      </c>
      <c r="J85" s="264" t="s">
        <v>928</v>
      </c>
      <c r="K85" s="264" t="s">
        <v>426</v>
      </c>
      <c r="L85" s="264" t="s">
        <v>427</v>
      </c>
      <c r="M85" s="264" t="s">
        <v>428</v>
      </c>
      <c r="N85" s="265" t="s">
        <v>591</v>
      </c>
      <c r="O85" s="265" t="s">
        <v>677</v>
      </c>
      <c r="P85" s="264" t="s">
        <v>678</v>
      </c>
      <c r="Q85" s="264" t="s">
        <v>679</v>
      </c>
      <c r="R85" s="264" t="s">
        <v>424</v>
      </c>
      <c r="S85" s="264" t="s">
        <v>425</v>
      </c>
      <c r="T85" s="264">
        <v>1</v>
      </c>
      <c r="U85" s="265">
        <v>1</v>
      </c>
      <c r="V85" s="265">
        <v>1</v>
      </c>
    </row>
    <row r="86" spans="2:22" ht="13.5">
      <c r="B86" s="263" t="s">
        <v>987</v>
      </c>
      <c r="C86" s="263" t="s">
        <v>988</v>
      </c>
      <c r="D86" s="263" t="s">
        <v>951</v>
      </c>
      <c r="E86" s="264">
        <v>18</v>
      </c>
      <c r="F86" s="264" t="s">
        <v>442</v>
      </c>
      <c r="G86" s="264">
        <v>501</v>
      </c>
      <c r="H86" s="264" t="s">
        <v>415</v>
      </c>
      <c r="I86" s="264" t="s">
        <v>416</v>
      </c>
      <c r="J86" s="264" t="s">
        <v>928</v>
      </c>
      <c r="K86" s="264" t="s">
        <v>605</v>
      </c>
      <c r="L86" s="264" t="s">
        <v>606</v>
      </c>
      <c r="M86" s="264" t="s">
        <v>493</v>
      </c>
      <c r="N86" s="265" t="s">
        <v>591</v>
      </c>
      <c r="O86" s="265" t="s">
        <v>677</v>
      </c>
      <c r="P86" s="264" t="s">
        <v>678</v>
      </c>
      <c r="Q86" s="264" t="s">
        <v>680</v>
      </c>
      <c r="R86" s="264" t="s">
        <v>424</v>
      </c>
      <c r="S86" s="264" t="s">
        <v>425</v>
      </c>
      <c r="T86" s="264">
        <v>1</v>
      </c>
      <c r="U86" s="265">
        <v>1</v>
      </c>
      <c r="V86" s="265">
        <v>0</v>
      </c>
    </row>
    <row r="87" spans="2:22" ht="13.5">
      <c r="B87" s="263" t="s">
        <v>987</v>
      </c>
      <c r="C87" s="263" t="s">
        <v>988</v>
      </c>
      <c r="D87" s="263" t="s">
        <v>951</v>
      </c>
      <c r="E87" s="264">
        <v>18</v>
      </c>
      <c r="F87" s="264" t="s">
        <v>442</v>
      </c>
      <c r="G87" s="264">
        <v>501</v>
      </c>
      <c r="H87" s="264" t="s">
        <v>415</v>
      </c>
      <c r="I87" s="264" t="s">
        <v>416</v>
      </c>
      <c r="J87" s="264" t="s">
        <v>928</v>
      </c>
      <c r="K87" s="264" t="s">
        <v>426</v>
      </c>
      <c r="L87" s="264" t="s">
        <v>427</v>
      </c>
      <c r="M87" s="264" t="s">
        <v>428</v>
      </c>
      <c r="N87" s="265" t="s">
        <v>587</v>
      </c>
      <c r="O87" s="265" t="s">
        <v>681</v>
      </c>
      <c r="P87" s="264" t="s">
        <v>682</v>
      </c>
      <c r="Q87" s="264" t="s">
        <v>683</v>
      </c>
      <c r="R87" s="264" t="s">
        <v>424</v>
      </c>
      <c r="S87" s="264" t="s">
        <v>425</v>
      </c>
      <c r="T87" s="264">
        <v>1</v>
      </c>
      <c r="U87" s="265">
        <v>1</v>
      </c>
      <c r="V87" s="265">
        <v>0</v>
      </c>
    </row>
    <row r="88" spans="2:22" ht="13.5">
      <c r="B88" s="263" t="s">
        <v>987</v>
      </c>
      <c r="C88" s="263" t="s">
        <v>988</v>
      </c>
      <c r="D88" s="263" t="s">
        <v>951</v>
      </c>
      <c r="E88" s="264">
        <v>18</v>
      </c>
      <c r="F88" s="264" t="s">
        <v>442</v>
      </c>
      <c r="G88" s="264">
        <v>501</v>
      </c>
      <c r="H88" s="264" t="s">
        <v>415</v>
      </c>
      <c r="I88" s="264" t="s">
        <v>416</v>
      </c>
      <c r="J88" s="264" t="s">
        <v>928</v>
      </c>
      <c r="K88" s="264" t="s">
        <v>684</v>
      </c>
      <c r="L88" s="264" t="s">
        <v>685</v>
      </c>
      <c r="M88" s="264" t="s">
        <v>441</v>
      </c>
      <c r="N88" s="265" t="s">
        <v>587</v>
      </c>
      <c r="O88" s="265" t="s">
        <v>681</v>
      </c>
      <c r="P88" s="264" t="s">
        <v>682</v>
      </c>
      <c r="Q88" s="264" t="s">
        <v>686</v>
      </c>
      <c r="R88" s="264" t="s">
        <v>424</v>
      </c>
      <c r="S88" s="264" t="s">
        <v>425</v>
      </c>
      <c r="T88" s="264">
        <v>1</v>
      </c>
      <c r="U88" s="265">
        <v>1</v>
      </c>
      <c r="V88" s="265">
        <v>0</v>
      </c>
    </row>
    <row r="89" spans="2:22" ht="13.5">
      <c r="B89" s="263" t="s">
        <v>987</v>
      </c>
      <c r="C89" s="263" t="s">
        <v>988</v>
      </c>
      <c r="D89" s="263" t="s">
        <v>951</v>
      </c>
      <c r="E89" s="264">
        <v>18</v>
      </c>
      <c r="F89" s="264" t="s">
        <v>442</v>
      </c>
      <c r="G89" s="264">
        <v>501</v>
      </c>
      <c r="H89" s="264" t="s">
        <v>415</v>
      </c>
      <c r="I89" s="264" t="s">
        <v>416</v>
      </c>
      <c r="J89" s="264" t="s">
        <v>928</v>
      </c>
      <c r="K89" s="264" t="s">
        <v>483</v>
      </c>
      <c r="L89" s="264" t="s">
        <v>484</v>
      </c>
      <c r="M89" s="264" t="s">
        <v>485</v>
      </c>
      <c r="N89" s="265" t="s">
        <v>587</v>
      </c>
      <c r="O89" s="265" t="s">
        <v>681</v>
      </c>
      <c r="P89" s="264" t="s">
        <v>687</v>
      </c>
      <c r="Q89" s="264" t="s">
        <v>688</v>
      </c>
      <c r="R89" s="264" t="s">
        <v>424</v>
      </c>
      <c r="S89" s="264" t="s">
        <v>425</v>
      </c>
      <c r="T89" s="264">
        <v>1</v>
      </c>
      <c r="U89" s="265">
        <v>1</v>
      </c>
      <c r="V89" s="265">
        <v>0</v>
      </c>
    </row>
    <row r="90" spans="2:22" ht="13.5">
      <c r="B90" s="263" t="s">
        <v>989</v>
      </c>
      <c r="C90" s="263" t="s">
        <v>990</v>
      </c>
      <c r="D90" s="263" t="s">
        <v>952</v>
      </c>
      <c r="E90" s="264">
        <v>18</v>
      </c>
      <c r="F90" s="264" t="s">
        <v>414</v>
      </c>
      <c r="G90" s="264">
        <v>540</v>
      </c>
      <c r="H90" s="264" t="s">
        <v>415</v>
      </c>
      <c r="I90" s="264" t="s">
        <v>416</v>
      </c>
      <c r="J90" s="264" t="s">
        <v>922</v>
      </c>
      <c r="K90" s="264" t="s">
        <v>558</v>
      </c>
      <c r="L90" s="264" t="s">
        <v>559</v>
      </c>
      <c r="M90" s="264" t="s">
        <v>493</v>
      </c>
      <c r="N90" s="265" t="s">
        <v>497</v>
      </c>
      <c r="O90" s="265" t="s">
        <v>689</v>
      </c>
      <c r="P90" s="264" t="s">
        <v>690</v>
      </c>
      <c r="Q90" s="264" t="s">
        <v>691</v>
      </c>
      <c r="R90" s="264" t="s">
        <v>424</v>
      </c>
      <c r="S90" s="264" t="s">
        <v>425</v>
      </c>
      <c r="T90" s="264">
        <v>1</v>
      </c>
      <c r="U90" s="265">
        <v>1</v>
      </c>
      <c r="V90" s="265">
        <v>0</v>
      </c>
    </row>
    <row r="91" spans="2:22" ht="13.5">
      <c r="B91" s="263" t="s">
        <v>989</v>
      </c>
      <c r="C91" s="263" t="s">
        <v>990</v>
      </c>
      <c r="D91" s="263" t="s">
        <v>952</v>
      </c>
      <c r="E91" s="264">
        <v>18</v>
      </c>
      <c r="F91" s="264" t="s">
        <v>414</v>
      </c>
      <c r="G91" s="264">
        <v>540</v>
      </c>
      <c r="H91" s="264" t="s">
        <v>415</v>
      </c>
      <c r="I91" s="264" t="s">
        <v>416</v>
      </c>
      <c r="J91" s="264" t="s">
        <v>922</v>
      </c>
      <c r="K91" s="264" t="s">
        <v>426</v>
      </c>
      <c r="L91" s="264" t="s">
        <v>427</v>
      </c>
      <c r="M91" s="264" t="s">
        <v>428</v>
      </c>
      <c r="N91" s="265" t="s">
        <v>452</v>
      </c>
      <c r="O91" s="265" t="s">
        <v>453</v>
      </c>
      <c r="P91" s="264" t="s">
        <v>454</v>
      </c>
      <c r="Q91" s="264" t="s">
        <v>692</v>
      </c>
      <c r="R91" s="264" t="s">
        <v>424</v>
      </c>
      <c r="S91" s="264" t="s">
        <v>425</v>
      </c>
      <c r="T91" s="264">
        <v>1</v>
      </c>
      <c r="U91" s="265">
        <v>1</v>
      </c>
      <c r="V91" s="265">
        <v>0</v>
      </c>
    </row>
    <row r="92" spans="2:22" ht="13.5">
      <c r="B92" s="263" t="s">
        <v>989</v>
      </c>
      <c r="C92" s="263" t="s">
        <v>990</v>
      </c>
      <c r="D92" s="263" t="s">
        <v>952</v>
      </c>
      <c r="E92" s="264">
        <v>18</v>
      </c>
      <c r="F92" s="264" t="s">
        <v>414</v>
      </c>
      <c r="G92" s="264">
        <v>540</v>
      </c>
      <c r="H92" s="264" t="s">
        <v>415</v>
      </c>
      <c r="I92" s="264" t="s">
        <v>416</v>
      </c>
      <c r="J92" s="264" t="s">
        <v>922</v>
      </c>
      <c r="K92" s="264" t="s">
        <v>626</v>
      </c>
      <c r="L92" s="264" t="s">
        <v>627</v>
      </c>
      <c r="M92" s="264" t="s">
        <v>510</v>
      </c>
      <c r="N92" s="265" t="s">
        <v>446</v>
      </c>
      <c r="O92" s="265" t="s">
        <v>447</v>
      </c>
      <c r="P92" s="264" t="s">
        <v>693</v>
      </c>
      <c r="Q92" s="264" t="s">
        <v>694</v>
      </c>
      <c r="R92" s="264" t="s">
        <v>424</v>
      </c>
      <c r="S92" s="264" t="s">
        <v>425</v>
      </c>
      <c r="T92" s="264">
        <v>1</v>
      </c>
      <c r="U92" s="265">
        <v>1</v>
      </c>
      <c r="V92" s="265">
        <v>1</v>
      </c>
    </row>
    <row r="93" spans="2:22" ht="13.5">
      <c r="B93" s="263" t="s">
        <v>989</v>
      </c>
      <c r="C93" s="263" t="s">
        <v>990</v>
      </c>
      <c r="D93" s="263" t="s">
        <v>952</v>
      </c>
      <c r="E93" s="264">
        <v>18</v>
      </c>
      <c r="F93" s="264" t="s">
        <v>414</v>
      </c>
      <c r="G93" s="264">
        <v>540</v>
      </c>
      <c r="H93" s="264" t="s">
        <v>415</v>
      </c>
      <c r="I93" s="264" t="s">
        <v>416</v>
      </c>
      <c r="J93" s="264" t="s">
        <v>922</v>
      </c>
      <c r="K93" s="264" t="s">
        <v>483</v>
      </c>
      <c r="L93" s="264" t="s">
        <v>484</v>
      </c>
      <c r="M93" s="264" t="s">
        <v>485</v>
      </c>
      <c r="N93" s="265" t="s">
        <v>446</v>
      </c>
      <c r="O93" s="265" t="s">
        <v>447</v>
      </c>
      <c r="P93" s="264" t="s">
        <v>693</v>
      </c>
      <c r="Q93" s="264" t="s">
        <v>695</v>
      </c>
      <c r="R93" s="264" t="s">
        <v>424</v>
      </c>
      <c r="S93" s="264" t="s">
        <v>425</v>
      </c>
      <c r="T93" s="264">
        <v>1</v>
      </c>
      <c r="U93" s="265">
        <v>1</v>
      </c>
      <c r="V93" s="265">
        <v>0</v>
      </c>
    </row>
    <row r="94" spans="2:22" ht="13.5">
      <c r="B94" s="263" t="s">
        <v>989</v>
      </c>
      <c r="C94" s="263" t="s">
        <v>990</v>
      </c>
      <c r="D94" s="263" t="s">
        <v>952</v>
      </c>
      <c r="E94" s="264">
        <v>18</v>
      </c>
      <c r="F94" s="264" t="s">
        <v>414</v>
      </c>
      <c r="G94" s="264">
        <v>540</v>
      </c>
      <c r="H94" s="264" t="s">
        <v>415</v>
      </c>
      <c r="I94" s="264" t="s">
        <v>416</v>
      </c>
      <c r="J94" s="264" t="s">
        <v>922</v>
      </c>
      <c r="K94" s="264" t="s">
        <v>658</v>
      </c>
      <c r="L94" s="264" t="s">
        <v>659</v>
      </c>
      <c r="M94" s="264" t="s">
        <v>493</v>
      </c>
      <c r="N94" s="265" t="s">
        <v>446</v>
      </c>
      <c r="O94" s="265" t="s">
        <v>447</v>
      </c>
      <c r="P94" s="264" t="s">
        <v>696</v>
      </c>
      <c r="Q94" s="264" t="s">
        <v>697</v>
      </c>
      <c r="R94" s="264" t="s">
        <v>424</v>
      </c>
      <c r="S94" s="264" t="s">
        <v>425</v>
      </c>
      <c r="T94" s="264">
        <v>1</v>
      </c>
      <c r="U94" s="265">
        <v>1</v>
      </c>
      <c r="V94" s="265">
        <v>0</v>
      </c>
    </row>
    <row r="95" spans="2:22" ht="13.5">
      <c r="B95" s="263" t="s">
        <v>991</v>
      </c>
      <c r="C95" s="263" t="s">
        <v>992</v>
      </c>
      <c r="D95" s="263" t="s">
        <v>953</v>
      </c>
      <c r="E95" s="264">
        <v>18</v>
      </c>
      <c r="F95" s="264" t="s">
        <v>442</v>
      </c>
      <c r="G95" s="264">
        <v>560</v>
      </c>
      <c r="H95" s="264" t="s">
        <v>415</v>
      </c>
      <c r="I95" s="264" t="s">
        <v>416</v>
      </c>
      <c r="J95" s="264" t="s">
        <v>923</v>
      </c>
      <c r="K95" s="264" t="s">
        <v>698</v>
      </c>
      <c r="L95" s="264" t="s">
        <v>699</v>
      </c>
      <c r="M95" s="264" t="s">
        <v>505</v>
      </c>
      <c r="N95" s="265" t="s">
        <v>587</v>
      </c>
      <c r="O95" s="265" t="s">
        <v>588</v>
      </c>
      <c r="P95" s="264" t="s">
        <v>589</v>
      </c>
      <c r="Q95" s="264" t="s">
        <v>595</v>
      </c>
      <c r="R95" s="264" t="s">
        <v>424</v>
      </c>
      <c r="S95" s="264" t="s">
        <v>425</v>
      </c>
      <c r="T95" s="264">
        <v>1</v>
      </c>
      <c r="U95" s="265">
        <v>1</v>
      </c>
      <c r="V95" s="265">
        <v>0</v>
      </c>
    </row>
    <row r="96" spans="2:22" ht="13.5">
      <c r="B96" s="263" t="s">
        <v>991</v>
      </c>
      <c r="C96" s="263" t="s">
        <v>992</v>
      </c>
      <c r="D96" s="263" t="s">
        <v>953</v>
      </c>
      <c r="E96" s="264">
        <v>18</v>
      </c>
      <c r="F96" s="264" t="s">
        <v>442</v>
      </c>
      <c r="G96" s="264">
        <v>560</v>
      </c>
      <c r="H96" s="264" t="s">
        <v>415</v>
      </c>
      <c r="I96" s="264" t="s">
        <v>416</v>
      </c>
      <c r="J96" s="264" t="s">
        <v>923</v>
      </c>
      <c r="K96" s="264" t="s">
        <v>626</v>
      </c>
      <c r="L96" s="264" t="s">
        <v>627</v>
      </c>
      <c r="M96" s="264" t="s">
        <v>510</v>
      </c>
      <c r="N96" s="265" t="s">
        <v>587</v>
      </c>
      <c r="O96" s="265" t="s">
        <v>588</v>
      </c>
      <c r="P96" s="264" t="s">
        <v>589</v>
      </c>
      <c r="Q96" s="264" t="s">
        <v>700</v>
      </c>
      <c r="R96" s="264" t="s">
        <v>424</v>
      </c>
      <c r="S96" s="264" t="s">
        <v>425</v>
      </c>
      <c r="T96" s="264">
        <v>1</v>
      </c>
      <c r="U96" s="265">
        <v>1</v>
      </c>
      <c r="V96" s="265">
        <v>0</v>
      </c>
    </row>
    <row r="97" spans="2:22" ht="13.5">
      <c r="B97" s="263" t="s">
        <v>991</v>
      </c>
      <c r="C97" s="263" t="s">
        <v>992</v>
      </c>
      <c r="D97" s="263" t="s">
        <v>953</v>
      </c>
      <c r="E97" s="264">
        <v>18</v>
      </c>
      <c r="F97" s="264" t="s">
        <v>442</v>
      </c>
      <c r="G97" s="264">
        <v>560</v>
      </c>
      <c r="H97" s="264" t="s">
        <v>415</v>
      </c>
      <c r="I97" s="264" t="s">
        <v>416</v>
      </c>
      <c r="J97" s="264" t="s">
        <v>923</v>
      </c>
      <c r="K97" s="264" t="s">
        <v>701</v>
      </c>
      <c r="L97" s="264" t="s">
        <v>702</v>
      </c>
      <c r="M97" s="264" t="s">
        <v>505</v>
      </c>
      <c r="N97" s="265" t="s">
        <v>587</v>
      </c>
      <c r="O97" s="265" t="s">
        <v>588</v>
      </c>
      <c r="P97" s="264" t="s">
        <v>589</v>
      </c>
      <c r="Q97" s="264" t="s">
        <v>595</v>
      </c>
      <c r="R97" s="264" t="s">
        <v>424</v>
      </c>
      <c r="S97" s="264" t="s">
        <v>425</v>
      </c>
      <c r="T97" s="264">
        <v>1</v>
      </c>
      <c r="U97" s="265">
        <v>1</v>
      </c>
      <c r="V97" s="265">
        <v>0</v>
      </c>
    </row>
    <row r="98" spans="2:22" ht="13.5">
      <c r="B98" s="263" t="s">
        <v>991</v>
      </c>
      <c r="C98" s="263" t="s">
        <v>992</v>
      </c>
      <c r="D98" s="263" t="s">
        <v>953</v>
      </c>
      <c r="E98" s="264">
        <v>18</v>
      </c>
      <c r="F98" s="264" t="s">
        <v>442</v>
      </c>
      <c r="G98" s="264">
        <v>560</v>
      </c>
      <c r="H98" s="264" t="s">
        <v>415</v>
      </c>
      <c r="I98" s="264" t="s">
        <v>416</v>
      </c>
      <c r="J98" s="264" t="s">
        <v>923</v>
      </c>
      <c r="K98" s="264" t="s">
        <v>562</v>
      </c>
      <c r="L98" s="264" t="s">
        <v>563</v>
      </c>
      <c r="M98" s="264" t="s">
        <v>505</v>
      </c>
      <c r="N98" s="265" t="s">
        <v>591</v>
      </c>
      <c r="O98" s="265" t="s">
        <v>703</v>
      </c>
      <c r="P98" s="264" t="s">
        <v>704</v>
      </c>
      <c r="Q98" s="264" t="s">
        <v>705</v>
      </c>
      <c r="R98" s="264" t="s">
        <v>424</v>
      </c>
      <c r="S98" s="264" t="s">
        <v>425</v>
      </c>
      <c r="T98" s="264">
        <v>1</v>
      </c>
      <c r="U98" s="265">
        <v>1</v>
      </c>
      <c r="V98" s="265">
        <v>0</v>
      </c>
    </row>
    <row r="99" spans="2:22" ht="13.5">
      <c r="B99" s="263" t="s">
        <v>991</v>
      </c>
      <c r="C99" s="263" t="s">
        <v>992</v>
      </c>
      <c r="D99" s="263" t="s">
        <v>953</v>
      </c>
      <c r="E99" s="264">
        <v>18</v>
      </c>
      <c r="F99" s="264" t="s">
        <v>442</v>
      </c>
      <c r="G99" s="264">
        <v>560</v>
      </c>
      <c r="H99" s="264" t="s">
        <v>415</v>
      </c>
      <c r="I99" s="264" t="s">
        <v>416</v>
      </c>
      <c r="J99" s="264" t="s">
        <v>923</v>
      </c>
      <c r="K99" s="264" t="s">
        <v>684</v>
      </c>
      <c r="L99" s="264" t="s">
        <v>685</v>
      </c>
      <c r="M99" s="264" t="s">
        <v>441</v>
      </c>
      <c r="N99" s="265" t="s">
        <v>587</v>
      </c>
      <c r="O99" s="265" t="s">
        <v>588</v>
      </c>
      <c r="P99" s="264" t="s">
        <v>589</v>
      </c>
      <c r="Q99" s="264" t="s">
        <v>595</v>
      </c>
      <c r="R99" s="264" t="s">
        <v>424</v>
      </c>
      <c r="S99" s="264" t="s">
        <v>425</v>
      </c>
      <c r="T99" s="264">
        <v>1</v>
      </c>
      <c r="U99" s="265">
        <v>1</v>
      </c>
      <c r="V99" s="265">
        <v>0</v>
      </c>
    </row>
    <row r="100" spans="2:22" ht="13.5">
      <c r="B100" s="263" t="s">
        <v>993</v>
      </c>
      <c r="C100" s="263" t="s">
        <v>994</v>
      </c>
      <c r="D100" s="263" t="s">
        <v>954</v>
      </c>
      <c r="E100" s="264">
        <v>18</v>
      </c>
      <c r="F100" s="264" t="s">
        <v>442</v>
      </c>
      <c r="G100" s="264">
        <v>745</v>
      </c>
      <c r="H100" s="264" t="s">
        <v>443</v>
      </c>
      <c r="I100" s="264" t="s">
        <v>416</v>
      </c>
      <c r="J100" s="264" t="s">
        <v>925</v>
      </c>
      <c r="K100" s="264" t="s">
        <v>706</v>
      </c>
      <c r="L100" s="264" t="s">
        <v>707</v>
      </c>
      <c r="M100" s="264" t="s">
        <v>419</v>
      </c>
      <c r="N100" s="265" t="s">
        <v>497</v>
      </c>
      <c r="O100" s="265" t="s">
        <v>506</v>
      </c>
      <c r="P100" s="264" t="s">
        <v>499</v>
      </c>
      <c r="Q100" s="264" t="s">
        <v>500</v>
      </c>
      <c r="R100" s="264" t="s">
        <v>424</v>
      </c>
      <c r="S100" s="264" t="s">
        <v>425</v>
      </c>
      <c r="T100" s="264">
        <v>1</v>
      </c>
      <c r="U100" s="265">
        <v>1</v>
      </c>
      <c r="V100" s="265">
        <v>0</v>
      </c>
    </row>
    <row r="101" spans="2:22" ht="13.5">
      <c r="B101" s="263" t="s">
        <v>993</v>
      </c>
      <c r="C101" s="263" t="s">
        <v>994</v>
      </c>
      <c r="D101" s="263" t="s">
        <v>954</v>
      </c>
      <c r="E101" s="264">
        <v>18</v>
      </c>
      <c r="F101" s="264" t="s">
        <v>442</v>
      </c>
      <c r="G101" s="264">
        <v>745</v>
      </c>
      <c r="H101" s="264" t="s">
        <v>443</v>
      </c>
      <c r="I101" s="264" t="s">
        <v>416</v>
      </c>
      <c r="J101" s="264" t="s">
        <v>925</v>
      </c>
      <c r="K101" s="264" t="s">
        <v>544</v>
      </c>
      <c r="L101" s="264" t="s">
        <v>545</v>
      </c>
      <c r="M101" s="264" t="s">
        <v>538</v>
      </c>
      <c r="N101" s="265" t="s">
        <v>567</v>
      </c>
      <c r="O101" s="265" t="s">
        <v>568</v>
      </c>
      <c r="P101" s="264" t="s">
        <v>708</v>
      </c>
      <c r="Q101" s="264" t="s">
        <v>500</v>
      </c>
      <c r="R101" s="264" t="s">
        <v>424</v>
      </c>
      <c r="S101" s="264" t="s">
        <v>425</v>
      </c>
      <c r="T101" s="264">
        <v>1</v>
      </c>
      <c r="U101" s="265">
        <v>1</v>
      </c>
      <c r="V101" s="265">
        <v>0</v>
      </c>
    </row>
    <row r="102" spans="2:22" ht="13.5">
      <c r="B102" s="263" t="s">
        <v>993</v>
      </c>
      <c r="C102" s="263" t="s">
        <v>994</v>
      </c>
      <c r="D102" s="263" t="s">
        <v>954</v>
      </c>
      <c r="E102" s="264">
        <v>18</v>
      </c>
      <c r="F102" s="264" t="s">
        <v>442</v>
      </c>
      <c r="G102" s="264">
        <v>745</v>
      </c>
      <c r="H102" s="264" t="s">
        <v>443</v>
      </c>
      <c r="I102" s="264" t="s">
        <v>416</v>
      </c>
      <c r="J102" s="264" t="s">
        <v>925</v>
      </c>
      <c r="K102" s="264" t="s">
        <v>596</v>
      </c>
      <c r="L102" s="264" t="s">
        <v>597</v>
      </c>
      <c r="M102" s="264" t="s">
        <v>493</v>
      </c>
      <c r="N102" s="265" t="s">
        <v>497</v>
      </c>
      <c r="O102" s="265" t="s">
        <v>506</v>
      </c>
      <c r="P102" s="264" t="s">
        <v>499</v>
      </c>
      <c r="Q102" s="264" t="s">
        <v>500</v>
      </c>
      <c r="R102" s="264" t="s">
        <v>424</v>
      </c>
      <c r="S102" s="264" t="s">
        <v>425</v>
      </c>
      <c r="T102" s="264">
        <v>1</v>
      </c>
      <c r="U102" s="265">
        <v>1</v>
      </c>
      <c r="V102" s="265">
        <v>0</v>
      </c>
    </row>
    <row r="103" spans="2:22" ht="13.5">
      <c r="B103" s="263" t="s">
        <v>993</v>
      </c>
      <c r="C103" s="263" t="s">
        <v>994</v>
      </c>
      <c r="D103" s="263" t="s">
        <v>954</v>
      </c>
      <c r="E103" s="264">
        <v>18</v>
      </c>
      <c r="F103" s="264" t="s">
        <v>442</v>
      </c>
      <c r="G103" s="264">
        <v>745</v>
      </c>
      <c r="H103" s="264" t="s">
        <v>443</v>
      </c>
      <c r="I103" s="264" t="s">
        <v>416</v>
      </c>
      <c r="J103" s="264" t="s">
        <v>925</v>
      </c>
      <c r="K103" s="264" t="s">
        <v>701</v>
      </c>
      <c r="L103" s="264" t="s">
        <v>702</v>
      </c>
      <c r="M103" s="264" t="s">
        <v>505</v>
      </c>
      <c r="N103" s="265" t="s">
        <v>709</v>
      </c>
      <c r="O103" s="265" t="s">
        <v>710</v>
      </c>
      <c r="P103" s="264" t="s">
        <v>711</v>
      </c>
      <c r="Q103" s="264" t="s">
        <v>712</v>
      </c>
      <c r="R103" s="264" t="s">
        <v>424</v>
      </c>
      <c r="S103" s="264" t="s">
        <v>425</v>
      </c>
      <c r="T103" s="264">
        <v>1</v>
      </c>
      <c r="U103" s="265">
        <v>1</v>
      </c>
      <c r="V103" s="265">
        <v>0</v>
      </c>
    </row>
    <row r="104" spans="2:22" ht="13.5">
      <c r="B104" s="263" t="s">
        <v>993</v>
      </c>
      <c r="C104" s="263" t="s">
        <v>994</v>
      </c>
      <c r="D104" s="263" t="s">
        <v>954</v>
      </c>
      <c r="E104" s="264">
        <v>18</v>
      </c>
      <c r="F104" s="264" t="s">
        <v>442</v>
      </c>
      <c r="G104" s="264">
        <v>745</v>
      </c>
      <c r="H104" s="264" t="s">
        <v>443</v>
      </c>
      <c r="I104" s="264" t="s">
        <v>416</v>
      </c>
      <c r="J104" s="264" t="s">
        <v>925</v>
      </c>
      <c r="K104" s="264" t="s">
        <v>576</v>
      </c>
      <c r="L104" s="264" t="s">
        <v>577</v>
      </c>
      <c r="M104" s="264" t="s">
        <v>428</v>
      </c>
      <c r="N104" s="265" t="s">
        <v>497</v>
      </c>
      <c r="O104" s="265" t="s">
        <v>506</v>
      </c>
      <c r="P104" s="264" t="s">
        <v>499</v>
      </c>
      <c r="Q104" s="264" t="s">
        <v>500</v>
      </c>
      <c r="R104" s="264" t="s">
        <v>424</v>
      </c>
      <c r="S104" s="264" t="s">
        <v>425</v>
      </c>
      <c r="T104" s="264">
        <v>1</v>
      </c>
      <c r="U104" s="265">
        <v>1</v>
      </c>
      <c r="V104" s="265">
        <v>0</v>
      </c>
    </row>
    <row r="105" spans="2:22" ht="13.5">
      <c r="B105" s="263" t="s">
        <v>152</v>
      </c>
      <c r="C105" s="263" t="s">
        <v>999</v>
      </c>
      <c r="D105" s="263" t="s">
        <v>955</v>
      </c>
      <c r="E105" s="264">
        <v>19</v>
      </c>
      <c r="F105" s="264" t="s">
        <v>442</v>
      </c>
      <c r="G105" s="264">
        <v>290</v>
      </c>
      <c r="H105" s="264" t="s">
        <v>415</v>
      </c>
      <c r="I105" s="264" t="s">
        <v>416</v>
      </c>
      <c r="J105" s="264" t="s">
        <v>927</v>
      </c>
      <c r="K105" s="264" t="s">
        <v>713</v>
      </c>
      <c r="L105" s="264" t="s">
        <v>714</v>
      </c>
      <c r="M105" s="264" t="s">
        <v>432</v>
      </c>
      <c r="N105" s="265" t="s">
        <v>591</v>
      </c>
      <c r="O105" s="265" t="s">
        <v>677</v>
      </c>
      <c r="P105" s="264" t="s">
        <v>715</v>
      </c>
      <c r="Q105" s="264" t="s">
        <v>716</v>
      </c>
      <c r="R105" s="264" t="s">
        <v>424</v>
      </c>
      <c r="S105" s="264" t="s">
        <v>425</v>
      </c>
      <c r="T105" s="264">
        <v>1</v>
      </c>
      <c r="U105" s="265">
        <v>1</v>
      </c>
      <c r="V105" s="265">
        <v>0</v>
      </c>
    </row>
    <row r="106" spans="2:22" ht="13.5">
      <c r="B106" s="263" t="s">
        <v>152</v>
      </c>
      <c r="C106" s="263" t="s">
        <v>999</v>
      </c>
      <c r="D106" s="263" t="s">
        <v>955</v>
      </c>
      <c r="E106" s="264">
        <v>19</v>
      </c>
      <c r="F106" s="264" t="s">
        <v>442</v>
      </c>
      <c r="G106" s="264">
        <v>290</v>
      </c>
      <c r="H106" s="264" t="s">
        <v>415</v>
      </c>
      <c r="I106" s="264" t="s">
        <v>416</v>
      </c>
      <c r="J106" s="264" t="s">
        <v>927</v>
      </c>
      <c r="K106" s="264" t="s">
        <v>717</v>
      </c>
      <c r="L106" s="264" t="s">
        <v>718</v>
      </c>
      <c r="M106" s="264" t="s">
        <v>482</v>
      </c>
      <c r="N106" s="265" t="s">
        <v>591</v>
      </c>
      <c r="O106" s="265" t="s">
        <v>677</v>
      </c>
      <c r="P106" s="264" t="s">
        <v>719</v>
      </c>
      <c r="Q106" s="264" t="s">
        <v>720</v>
      </c>
      <c r="R106" s="264" t="s">
        <v>424</v>
      </c>
      <c r="S106" s="264" t="s">
        <v>425</v>
      </c>
      <c r="T106" s="264">
        <v>1</v>
      </c>
      <c r="U106" s="265">
        <v>1</v>
      </c>
      <c r="V106" s="265">
        <v>0</v>
      </c>
    </row>
    <row r="107" spans="2:22" ht="13.5">
      <c r="B107" s="263" t="s">
        <v>152</v>
      </c>
      <c r="C107" s="263" t="s">
        <v>999</v>
      </c>
      <c r="D107" s="263" t="s">
        <v>955</v>
      </c>
      <c r="E107" s="264">
        <v>19</v>
      </c>
      <c r="F107" s="264" t="s">
        <v>442</v>
      </c>
      <c r="G107" s="264">
        <v>290</v>
      </c>
      <c r="H107" s="264" t="s">
        <v>415</v>
      </c>
      <c r="I107" s="264" t="s">
        <v>416</v>
      </c>
      <c r="J107" s="264" t="s">
        <v>927</v>
      </c>
      <c r="K107" s="264" t="s">
        <v>721</v>
      </c>
      <c r="L107" s="264" t="s">
        <v>722</v>
      </c>
      <c r="M107" s="264" t="s">
        <v>493</v>
      </c>
      <c r="N107" s="265" t="s">
        <v>591</v>
      </c>
      <c r="O107" s="265" t="s">
        <v>677</v>
      </c>
      <c r="P107" s="264" t="s">
        <v>723</v>
      </c>
      <c r="Q107" s="264" t="s">
        <v>724</v>
      </c>
      <c r="R107" s="264" t="s">
        <v>424</v>
      </c>
      <c r="S107" s="264" t="s">
        <v>425</v>
      </c>
      <c r="T107" s="264">
        <v>1</v>
      </c>
      <c r="U107" s="265">
        <v>1</v>
      </c>
      <c r="V107" s="265">
        <v>0</v>
      </c>
    </row>
    <row r="108" spans="2:22" ht="13.5">
      <c r="B108" s="263" t="s">
        <v>152</v>
      </c>
      <c r="C108" s="263" t="s">
        <v>999</v>
      </c>
      <c r="D108" s="263" t="s">
        <v>955</v>
      </c>
      <c r="E108" s="264">
        <v>19</v>
      </c>
      <c r="F108" s="264" t="s">
        <v>442</v>
      </c>
      <c r="G108" s="264">
        <v>290</v>
      </c>
      <c r="H108" s="264" t="s">
        <v>415</v>
      </c>
      <c r="I108" s="264" t="s">
        <v>416</v>
      </c>
      <c r="J108" s="264" t="s">
        <v>927</v>
      </c>
      <c r="K108" s="264" t="s">
        <v>725</v>
      </c>
      <c r="L108" s="264" t="s">
        <v>726</v>
      </c>
      <c r="M108" s="264" t="s">
        <v>496</v>
      </c>
      <c r="N108" s="265" t="s">
        <v>591</v>
      </c>
      <c r="O108" s="265" t="s">
        <v>677</v>
      </c>
      <c r="P108" s="264" t="s">
        <v>719</v>
      </c>
      <c r="Q108" s="264" t="s">
        <v>716</v>
      </c>
      <c r="R108" s="264" t="s">
        <v>424</v>
      </c>
      <c r="S108" s="264" t="s">
        <v>425</v>
      </c>
      <c r="T108" s="264">
        <v>1</v>
      </c>
      <c r="U108" s="265">
        <v>1</v>
      </c>
      <c r="V108" s="265">
        <v>1</v>
      </c>
    </row>
    <row r="109" spans="2:22" ht="13.5">
      <c r="B109" s="263" t="s">
        <v>152</v>
      </c>
      <c r="C109" s="263" t="s">
        <v>999</v>
      </c>
      <c r="D109" s="263" t="s">
        <v>955</v>
      </c>
      <c r="E109" s="264">
        <v>19</v>
      </c>
      <c r="F109" s="264" t="s">
        <v>442</v>
      </c>
      <c r="G109" s="264">
        <v>290</v>
      </c>
      <c r="H109" s="264" t="s">
        <v>415</v>
      </c>
      <c r="I109" s="264" t="s">
        <v>416</v>
      </c>
      <c r="J109" s="264" t="s">
        <v>927</v>
      </c>
      <c r="K109" s="264" t="s">
        <v>727</v>
      </c>
      <c r="L109" s="264" t="s">
        <v>728</v>
      </c>
      <c r="M109" s="264" t="s">
        <v>496</v>
      </c>
      <c r="N109" s="265" t="s">
        <v>591</v>
      </c>
      <c r="O109" s="265" t="s">
        <v>677</v>
      </c>
      <c r="P109" s="264" t="s">
        <v>719</v>
      </c>
      <c r="Q109" s="264" t="s">
        <v>729</v>
      </c>
      <c r="R109" s="264" t="s">
        <v>424</v>
      </c>
      <c r="S109" s="264" t="s">
        <v>425</v>
      </c>
      <c r="T109" s="264">
        <v>1</v>
      </c>
      <c r="U109" s="265">
        <v>1</v>
      </c>
      <c r="V109" s="265">
        <v>0</v>
      </c>
    </row>
    <row r="110" spans="2:22" ht="13.5">
      <c r="B110" s="6" t="s">
        <v>1000</v>
      </c>
      <c r="C110" s="6" t="s">
        <v>998</v>
      </c>
      <c r="D110" s="263" t="s">
        <v>956</v>
      </c>
      <c r="E110" s="264">
        <v>17</v>
      </c>
      <c r="F110" s="264" t="s">
        <v>442</v>
      </c>
      <c r="G110" s="264">
        <v>520</v>
      </c>
      <c r="H110" s="264" t="s">
        <v>415</v>
      </c>
      <c r="I110" s="264" t="s">
        <v>416</v>
      </c>
      <c r="J110" s="264" t="s">
        <v>922</v>
      </c>
      <c r="K110" s="264" t="s">
        <v>503</v>
      </c>
      <c r="L110" s="264" t="s">
        <v>504</v>
      </c>
      <c r="M110" s="264" t="s">
        <v>505</v>
      </c>
      <c r="N110" s="265" t="s">
        <v>730</v>
      </c>
      <c r="O110" s="265" t="s">
        <v>731</v>
      </c>
      <c r="P110" s="264" t="s">
        <v>732</v>
      </c>
      <c r="Q110" s="264" t="s">
        <v>733</v>
      </c>
      <c r="R110" s="264" t="s">
        <v>424</v>
      </c>
      <c r="S110" s="264" t="s">
        <v>425</v>
      </c>
      <c r="T110" s="264">
        <v>1</v>
      </c>
      <c r="U110" s="265">
        <v>1</v>
      </c>
      <c r="V110" s="265">
        <v>1</v>
      </c>
    </row>
    <row r="111" spans="2:22" ht="13.5">
      <c r="B111" s="6" t="s">
        <v>1000</v>
      </c>
      <c r="C111" s="6" t="s">
        <v>998</v>
      </c>
      <c r="D111" s="263" t="s">
        <v>956</v>
      </c>
      <c r="E111" s="264">
        <v>17</v>
      </c>
      <c r="F111" s="264" t="s">
        <v>442</v>
      </c>
      <c r="G111" s="264">
        <v>520</v>
      </c>
      <c r="H111" s="264" t="s">
        <v>415</v>
      </c>
      <c r="I111" s="264" t="s">
        <v>416</v>
      </c>
      <c r="J111" s="264" t="s">
        <v>922</v>
      </c>
      <c r="K111" s="264" t="s">
        <v>734</v>
      </c>
      <c r="L111" s="264" t="s">
        <v>735</v>
      </c>
      <c r="M111" s="264" t="s">
        <v>505</v>
      </c>
      <c r="N111" s="265" t="s">
        <v>730</v>
      </c>
      <c r="O111" s="265" t="s">
        <v>731</v>
      </c>
      <c r="P111" s="264" t="s">
        <v>736</v>
      </c>
      <c r="Q111" s="264" t="s">
        <v>737</v>
      </c>
      <c r="R111" s="264" t="s">
        <v>424</v>
      </c>
      <c r="S111" s="264" t="s">
        <v>425</v>
      </c>
      <c r="T111" s="264">
        <v>1</v>
      </c>
      <c r="U111" s="265">
        <v>1</v>
      </c>
      <c r="V111" s="265">
        <v>0</v>
      </c>
    </row>
    <row r="112" spans="2:22" ht="13.5">
      <c r="B112" s="6" t="s">
        <v>1000</v>
      </c>
      <c r="C112" s="6" t="s">
        <v>998</v>
      </c>
      <c r="D112" s="263" t="s">
        <v>956</v>
      </c>
      <c r="E112" s="264">
        <v>17</v>
      </c>
      <c r="F112" s="264" t="s">
        <v>442</v>
      </c>
      <c r="G112" s="264">
        <v>520</v>
      </c>
      <c r="H112" s="264" t="s">
        <v>415</v>
      </c>
      <c r="I112" s="264" t="s">
        <v>416</v>
      </c>
      <c r="J112" s="264" t="s">
        <v>922</v>
      </c>
      <c r="K112" s="264" t="s">
        <v>734</v>
      </c>
      <c r="L112" s="264" t="s">
        <v>735</v>
      </c>
      <c r="M112" s="264" t="s">
        <v>505</v>
      </c>
      <c r="N112" s="265" t="s">
        <v>636</v>
      </c>
      <c r="O112" s="265" t="s">
        <v>738</v>
      </c>
      <c r="P112" s="264" t="s">
        <v>739</v>
      </c>
      <c r="Q112" s="264" t="s">
        <v>740</v>
      </c>
      <c r="R112" s="264" t="s">
        <v>424</v>
      </c>
      <c r="S112" s="264" t="s">
        <v>425</v>
      </c>
      <c r="T112" s="264">
        <v>1</v>
      </c>
      <c r="U112" s="265">
        <v>1</v>
      </c>
      <c r="V112" s="265">
        <v>0</v>
      </c>
    </row>
    <row r="113" spans="2:22" ht="13.5">
      <c r="B113" s="6" t="s">
        <v>1000</v>
      </c>
      <c r="C113" s="6" t="s">
        <v>998</v>
      </c>
      <c r="D113" s="263" t="s">
        <v>956</v>
      </c>
      <c r="E113" s="264">
        <v>17</v>
      </c>
      <c r="F113" s="264" t="s">
        <v>442</v>
      </c>
      <c r="G113" s="264">
        <v>520</v>
      </c>
      <c r="H113" s="264" t="s">
        <v>415</v>
      </c>
      <c r="I113" s="264" t="s">
        <v>416</v>
      </c>
      <c r="J113" s="264" t="s">
        <v>922</v>
      </c>
      <c r="K113" s="264" t="s">
        <v>741</v>
      </c>
      <c r="L113" s="264" t="s">
        <v>742</v>
      </c>
      <c r="M113" s="264" t="s">
        <v>505</v>
      </c>
      <c r="N113" s="265" t="s">
        <v>420</v>
      </c>
      <c r="O113" s="265" t="s">
        <v>421</v>
      </c>
      <c r="P113" s="264" t="s">
        <v>743</v>
      </c>
      <c r="Q113" s="264" t="s">
        <v>744</v>
      </c>
      <c r="R113" s="264" t="s">
        <v>424</v>
      </c>
      <c r="S113" s="264" t="s">
        <v>425</v>
      </c>
      <c r="T113" s="264">
        <v>1</v>
      </c>
      <c r="U113" s="265">
        <v>1</v>
      </c>
      <c r="V113" s="265">
        <v>0</v>
      </c>
    </row>
    <row r="114" spans="2:22" ht="13.5">
      <c r="B114" s="6" t="s">
        <v>1000</v>
      </c>
      <c r="C114" s="6" t="s">
        <v>998</v>
      </c>
      <c r="D114" s="263" t="s">
        <v>956</v>
      </c>
      <c r="E114" s="264">
        <v>17</v>
      </c>
      <c r="F114" s="264" t="s">
        <v>442</v>
      </c>
      <c r="G114" s="264">
        <v>520</v>
      </c>
      <c r="H114" s="264" t="s">
        <v>415</v>
      </c>
      <c r="I114" s="264" t="s">
        <v>416</v>
      </c>
      <c r="J114" s="264" t="s">
        <v>922</v>
      </c>
      <c r="K114" s="264" t="s">
        <v>745</v>
      </c>
      <c r="L114" s="264" t="s">
        <v>746</v>
      </c>
      <c r="M114" s="264" t="s">
        <v>505</v>
      </c>
      <c r="N114" s="265" t="s">
        <v>636</v>
      </c>
      <c r="O114" s="265" t="s">
        <v>747</v>
      </c>
      <c r="P114" s="264" t="s">
        <v>748</v>
      </c>
      <c r="Q114" s="264" t="s">
        <v>749</v>
      </c>
      <c r="R114" s="264" t="s">
        <v>424</v>
      </c>
      <c r="S114" s="264" t="s">
        <v>425</v>
      </c>
      <c r="T114" s="264">
        <v>1</v>
      </c>
      <c r="U114" s="265">
        <v>1</v>
      </c>
      <c r="V114" s="265">
        <v>0</v>
      </c>
    </row>
    <row r="115" spans="2:22" ht="13.5">
      <c r="B115" s="6" t="s">
        <v>1001</v>
      </c>
      <c r="C115" s="6" t="s">
        <v>1002</v>
      </c>
      <c r="D115" s="263" t="s">
        <v>957</v>
      </c>
      <c r="E115" s="264">
        <v>18</v>
      </c>
      <c r="F115" s="264" t="s">
        <v>442</v>
      </c>
      <c r="G115" s="264">
        <v>330</v>
      </c>
      <c r="H115" s="264" t="s">
        <v>415</v>
      </c>
      <c r="I115" s="264" t="s">
        <v>416</v>
      </c>
      <c r="J115" s="264" t="s">
        <v>925</v>
      </c>
      <c r="K115" s="264" t="s">
        <v>426</v>
      </c>
      <c r="L115" s="264" t="s">
        <v>427</v>
      </c>
      <c r="M115" s="264" t="s">
        <v>428</v>
      </c>
      <c r="N115" s="265" t="s">
        <v>567</v>
      </c>
      <c r="O115" s="265" t="s">
        <v>568</v>
      </c>
      <c r="P115" s="264" t="s">
        <v>750</v>
      </c>
      <c r="Q115" s="264" t="s">
        <v>751</v>
      </c>
      <c r="R115" s="264" t="s">
        <v>424</v>
      </c>
      <c r="S115" s="264" t="s">
        <v>425</v>
      </c>
      <c r="T115" s="264">
        <v>1</v>
      </c>
      <c r="U115" s="265">
        <v>1</v>
      </c>
      <c r="V115" s="265">
        <v>0</v>
      </c>
    </row>
    <row r="116" spans="2:22" ht="13.5">
      <c r="B116" s="6" t="s">
        <v>1001</v>
      </c>
      <c r="C116" s="6" t="s">
        <v>1002</v>
      </c>
      <c r="D116" s="263" t="s">
        <v>957</v>
      </c>
      <c r="E116" s="264">
        <v>18</v>
      </c>
      <c r="F116" s="264" t="s">
        <v>442</v>
      </c>
      <c r="G116" s="264">
        <v>330</v>
      </c>
      <c r="H116" s="264" t="s">
        <v>415</v>
      </c>
      <c r="I116" s="264" t="s">
        <v>416</v>
      </c>
      <c r="J116" s="264" t="s">
        <v>925</v>
      </c>
      <c r="K116" s="264" t="s">
        <v>526</v>
      </c>
      <c r="L116" s="264" t="s">
        <v>527</v>
      </c>
      <c r="M116" s="264" t="s">
        <v>428</v>
      </c>
      <c r="N116" s="265" t="s">
        <v>567</v>
      </c>
      <c r="O116" s="265" t="s">
        <v>568</v>
      </c>
      <c r="P116" s="264" t="s">
        <v>752</v>
      </c>
      <c r="Q116" s="264" t="s">
        <v>753</v>
      </c>
      <c r="R116" s="264" t="s">
        <v>424</v>
      </c>
      <c r="S116" s="264" t="s">
        <v>425</v>
      </c>
      <c r="T116" s="264">
        <v>1</v>
      </c>
      <c r="U116" s="265">
        <v>1</v>
      </c>
      <c r="V116" s="265">
        <v>0</v>
      </c>
    </row>
    <row r="117" spans="2:22" ht="13.5">
      <c r="B117" s="6" t="s">
        <v>1001</v>
      </c>
      <c r="C117" s="6" t="s">
        <v>1002</v>
      </c>
      <c r="D117" s="263" t="s">
        <v>957</v>
      </c>
      <c r="E117" s="264">
        <v>18</v>
      </c>
      <c r="F117" s="264" t="s">
        <v>442</v>
      </c>
      <c r="G117" s="264">
        <v>330</v>
      </c>
      <c r="H117" s="264" t="s">
        <v>415</v>
      </c>
      <c r="I117" s="264" t="s">
        <v>416</v>
      </c>
      <c r="J117" s="264" t="s">
        <v>925</v>
      </c>
      <c r="K117" s="264" t="s">
        <v>669</v>
      </c>
      <c r="L117" s="264" t="s">
        <v>670</v>
      </c>
      <c r="M117" s="264" t="s">
        <v>493</v>
      </c>
      <c r="N117" s="265" t="s">
        <v>497</v>
      </c>
      <c r="O117" s="265" t="s">
        <v>754</v>
      </c>
      <c r="P117" s="264" t="s">
        <v>755</v>
      </c>
      <c r="Q117" s="264" t="s">
        <v>756</v>
      </c>
      <c r="R117" s="264" t="s">
        <v>424</v>
      </c>
      <c r="S117" s="264" t="s">
        <v>425</v>
      </c>
      <c r="T117" s="264">
        <v>1</v>
      </c>
      <c r="U117" s="265">
        <v>1</v>
      </c>
      <c r="V117" s="265">
        <v>0</v>
      </c>
    </row>
    <row r="118" spans="2:22" ht="13.5">
      <c r="B118" s="6" t="s">
        <v>1001</v>
      </c>
      <c r="C118" s="6" t="s">
        <v>1002</v>
      </c>
      <c r="D118" s="263" t="s">
        <v>957</v>
      </c>
      <c r="E118" s="264">
        <v>18</v>
      </c>
      <c r="F118" s="264" t="s">
        <v>442</v>
      </c>
      <c r="G118" s="264">
        <v>330</v>
      </c>
      <c r="H118" s="264" t="s">
        <v>415</v>
      </c>
      <c r="I118" s="264" t="s">
        <v>416</v>
      </c>
      <c r="J118" s="264" t="s">
        <v>925</v>
      </c>
      <c r="K118" s="264" t="s">
        <v>757</v>
      </c>
      <c r="L118" s="264" t="s">
        <v>758</v>
      </c>
      <c r="M118" s="264" t="s">
        <v>432</v>
      </c>
      <c r="N118" s="265" t="s">
        <v>639</v>
      </c>
      <c r="O118" s="265" t="s">
        <v>759</v>
      </c>
      <c r="P118" s="264" t="s">
        <v>760</v>
      </c>
      <c r="Q118" s="264" t="s">
        <v>761</v>
      </c>
      <c r="R118" s="264" t="s">
        <v>424</v>
      </c>
      <c r="S118" s="264" t="s">
        <v>425</v>
      </c>
      <c r="T118" s="264">
        <v>1</v>
      </c>
      <c r="U118" s="265">
        <v>1</v>
      </c>
      <c r="V118" s="265">
        <v>0</v>
      </c>
    </row>
    <row r="119" spans="2:22" ht="13.5">
      <c r="B119" s="6" t="s">
        <v>1001</v>
      </c>
      <c r="C119" s="6" t="s">
        <v>1002</v>
      </c>
      <c r="D119" s="263" t="s">
        <v>957</v>
      </c>
      <c r="E119" s="264">
        <v>18</v>
      </c>
      <c r="F119" s="264" t="s">
        <v>442</v>
      </c>
      <c r="G119" s="264">
        <v>330</v>
      </c>
      <c r="H119" s="264" t="s">
        <v>415</v>
      </c>
      <c r="I119" s="264" t="s">
        <v>416</v>
      </c>
      <c r="J119" s="264" t="s">
        <v>925</v>
      </c>
      <c r="K119" s="264" t="s">
        <v>762</v>
      </c>
      <c r="L119" s="264" t="s">
        <v>763</v>
      </c>
      <c r="M119" s="264" t="s">
        <v>482</v>
      </c>
      <c r="N119" s="265" t="s">
        <v>567</v>
      </c>
      <c r="O119" s="265" t="s">
        <v>568</v>
      </c>
      <c r="P119" s="264" t="s">
        <v>752</v>
      </c>
      <c r="Q119" s="264" t="s">
        <v>753</v>
      </c>
      <c r="R119" s="264" t="s">
        <v>424</v>
      </c>
      <c r="S119" s="264" t="s">
        <v>425</v>
      </c>
      <c r="T119" s="264">
        <v>1</v>
      </c>
      <c r="U119" s="265">
        <v>1</v>
      </c>
      <c r="V119" s="265">
        <v>0</v>
      </c>
    </row>
    <row r="120" spans="2:22" ht="13.5">
      <c r="B120" s="263" t="s">
        <v>148</v>
      </c>
      <c r="C120" s="263" t="s">
        <v>149</v>
      </c>
      <c r="D120" s="263" t="s">
        <v>958</v>
      </c>
      <c r="E120" s="264">
        <v>19</v>
      </c>
      <c r="F120" s="264" t="s">
        <v>414</v>
      </c>
      <c r="G120" s="264">
        <v>330</v>
      </c>
      <c r="H120" s="264" t="s">
        <v>415</v>
      </c>
      <c r="I120" s="264" t="s">
        <v>416</v>
      </c>
      <c r="J120" s="264" t="s">
        <v>927</v>
      </c>
      <c r="K120" s="264" t="s">
        <v>571</v>
      </c>
      <c r="L120" s="264" t="s">
        <v>572</v>
      </c>
      <c r="M120" s="264" t="s">
        <v>428</v>
      </c>
      <c r="N120" s="265" t="s">
        <v>476</v>
      </c>
      <c r="O120" s="265" t="s">
        <v>523</v>
      </c>
      <c r="P120" s="264" t="s">
        <v>764</v>
      </c>
      <c r="Q120" s="264" t="s">
        <v>765</v>
      </c>
      <c r="R120" s="264" t="s">
        <v>424</v>
      </c>
      <c r="S120" s="264" t="s">
        <v>425</v>
      </c>
      <c r="T120" s="264">
        <v>1</v>
      </c>
      <c r="U120" s="265">
        <v>1</v>
      </c>
      <c r="V120" s="265">
        <v>0</v>
      </c>
    </row>
    <row r="121" spans="2:22" ht="13.5">
      <c r="B121" s="263" t="s">
        <v>148</v>
      </c>
      <c r="C121" s="263" t="s">
        <v>149</v>
      </c>
      <c r="D121" s="263" t="s">
        <v>958</v>
      </c>
      <c r="E121" s="264">
        <v>19</v>
      </c>
      <c r="F121" s="264" t="s">
        <v>414</v>
      </c>
      <c r="G121" s="264">
        <v>330</v>
      </c>
      <c r="H121" s="264" t="s">
        <v>415</v>
      </c>
      <c r="I121" s="264" t="s">
        <v>416</v>
      </c>
      <c r="J121" s="264" t="s">
        <v>927</v>
      </c>
      <c r="K121" s="264" t="s">
        <v>526</v>
      </c>
      <c r="L121" s="264" t="s">
        <v>527</v>
      </c>
      <c r="M121" s="264" t="s">
        <v>428</v>
      </c>
      <c r="N121" s="265" t="s">
        <v>476</v>
      </c>
      <c r="O121" s="265" t="s">
        <v>523</v>
      </c>
      <c r="P121" s="264" t="s">
        <v>766</v>
      </c>
      <c r="Q121" s="264" t="s">
        <v>765</v>
      </c>
      <c r="R121" s="264" t="s">
        <v>424</v>
      </c>
      <c r="S121" s="264" t="s">
        <v>425</v>
      </c>
      <c r="T121" s="264">
        <v>1</v>
      </c>
      <c r="U121" s="265">
        <v>1</v>
      </c>
      <c r="V121" s="265">
        <v>0</v>
      </c>
    </row>
    <row r="122" spans="2:22" ht="13.5">
      <c r="B122" s="263" t="s">
        <v>148</v>
      </c>
      <c r="C122" s="263" t="s">
        <v>149</v>
      </c>
      <c r="D122" s="263" t="s">
        <v>958</v>
      </c>
      <c r="E122" s="264">
        <v>19</v>
      </c>
      <c r="F122" s="264" t="s">
        <v>414</v>
      </c>
      <c r="G122" s="264">
        <v>330</v>
      </c>
      <c r="H122" s="264" t="s">
        <v>415</v>
      </c>
      <c r="I122" s="264" t="s">
        <v>416</v>
      </c>
      <c r="J122" s="264" t="s">
        <v>927</v>
      </c>
      <c r="K122" s="264" t="s">
        <v>605</v>
      </c>
      <c r="L122" s="264" t="s">
        <v>606</v>
      </c>
      <c r="M122" s="264" t="s">
        <v>493</v>
      </c>
      <c r="N122" s="265" t="s">
        <v>476</v>
      </c>
      <c r="O122" s="265" t="s">
        <v>523</v>
      </c>
      <c r="P122" s="264" t="s">
        <v>767</v>
      </c>
      <c r="Q122" s="264" t="s">
        <v>765</v>
      </c>
      <c r="R122" s="264" t="s">
        <v>424</v>
      </c>
      <c r="S122" s="264" t="s">
        <v>425</v>
      </c>
      <c r="T122" s="264">
        <v>1</v>
      </c>
      <c r="U122" s="265">
        <v>1</v>
      </c>
      <c r="V122" s="265">
        <v>1</v>
      </c>
    </row>
    <row r="123" spans="2:22" ht="13.5">
      <c r="B123" s="263" t="s">
        <v>148</v>
      </c>
      <c r="C123" s="263" t="s">
        <v>149</v>
      </c>
      <c r="D123" s="263" t="s">
        <v>958</v>
      </c>
      <c r="E123" s="264">
        <v>19</v>
      </c>
      <c r="F123" s="264" t="s">
        <v>414</v>
      </c>
      <c r="G123" s="264">
        <v>330</v>
      </c>
      <c r="H123" s="264" t="s">
        <v>415</v>
      </c>
      <c r="I123" s="264" t="s">
        <v>416</v>
      </c>
      <c r="J123" s="264" t="s">
        <v>927</v>
      </c>
      <c r="K123" s="264" t="s">
        <v>768</v>
      </c>
      <c r="L123" s="264" t="s">
        <v>769</v>
      </c>
      <c r="M123" s="264" t="s">
        <v>482</v>
      </c>
      <c r="N123" s="265" t="s">
        <v>476</v>
      </c>
      <c r="O123" s="265" t="s">
        <v>523</v>
      </c>
      <c r="P123" s="264" t="s">
        <v>766</v>
      </c>
      <c r="Q123" s="264" t="s">
        <v>765</v>
      </c>
      <c r="R123" s="264" t="s">
        <v>424</v>
      </c>
      <c r="S123" s="264" t="s">
        <v>425</v>
      </c>
      <c r="T123" s="264">
        <v>1</v>
      </c>
      <c r="U123" s="265">
        <v>1</v>
      </c>
      <c r="V123" s="265">
        <v>0</v>
      </c>
    </row>
    <row r="124" spans="2:22" ht="13.5">
      <c r="B124" s="263" t="s">
        <v>148</v>
      </c>
      <c r="C124" s="263" t="s">
        <v>149</v>
      </c>
      <c r="D124" s="263" t="s">
        <v>958</v>
      </c>
      <c r="E124" s="264">
        <v>19</v>
      </c>
      <c r="F124" s="264" t="s">
        <v>414</v>
      </c>
      <c r="G124" s="264">
        <v>330</v>
      </c>
      <c r="H124" s="264" t="s">
        <v>415</v>
      </c>
      <c r="I124" s="264" t="s">
        <v>416</v>
      </c>
      <c r="J124" s="264" t="s">
        <v>927</v>
      </c>
      <c r="K124" s="264" t="s">
        <v>770</v>
      </c>
      <c r="L124" s="264" t="s">
        <v>771</v>
      </c>
      <c r="M124" s="264" t="s">
        <v>441</v>
      </c>
      <c r="N124" s="265" t="s">
        <v>639</v>
      </c>
      <c r="O124" s="265" t="s">
        <v>772</v>
      </c>
      <c r="P124" s="264" t="s">
        <v>773</v>
      </c>
      <c r="Q124" s="264" t="s">
        <v>774</v>
      </c>
      <c r="R124" s="264" t="s">
        <v>424</v>
      </c>
      <c r="S124" s="264" t="s">
        <v>425</v>
      </c>
      <c r="T124" s="264">
        <v>1</v>
      </c>
      <c r="U124" s="265">
        <v>1</v>
      </c>
      <c r="V124" s="265">
        <v>0</v>
      </c>
    </row>
    <row r="125" spans="2:22" ht="13.5">
      <c r="B125" s="263" t="s">
        <v>1003</v>
      </c>
      <c r="C125" s="263" t="s">
        <v>1005</v>
      </c>
      <c r="D125" s="263" t="s">
        <v>959</v>
      </c>
      <c r="E125" s="264">
        <v>19</v>
      </c>
      <c r="F125" s="264" t="s">
        <v>414</v>
      </c>
      <c r="G125" s="264">
        <v>240</v>
      </c>
      <c r="H125" s="264" t="s">
        <v>415</v>
      </c>
      <c r="I125" s="264" t="s">
        <v>416</v>
      </c>
      <c r="J125" s="264" t="s">
        <v>932</v>
      </c>
      <c r="K125" s="264" t="s">
        <v>775</v>
      </c>
      <c r="L125" s="264" t="s">
        <v>776</v>
      </c>
      <c r="M125" s="264" t="s">
        <v>538</v>
      </c>
      <c r="N125" s="265" t="s">
        <v>777</v>
      </c>
      <c r="O125" s="265" t="s">
        <v>778</v>
      </c>
      <c r="P125" s="264" t="s">
        <v>779</v>
      </c>
      <c r="Q125" s="264" t="s">
        <v>780</v>
      </c>
      <c r="R125" s="264" t="s">
        <v>424</v>
      </c>
      <c r="S125" s="264" t="s">
        <v>425</v>
      </c>
      <c r="T125" s="264">
        <v>1</v>
      </c>
      <c r="U125" s="265">
        <v>1</v>
      </c>
      <c r="V125" s="265">
        <v>0</v>
      </c>
    </row>
    <row r="126" spans="2:22" ht="13.5">
      <c r="B126" s="263" t="s">
        <v>1003</v>
      </c>
      <c r="C126" s="263" t="s">
        <v>1005</v>
      </c>
      <c r="D126" s="263" t="s">
        <v>959</v>
      </c>
      <c r="E126" s="264">
        <v>19</v>
      </c>
      <c r="F126" s="264" t="s">
        <v>414</v>
      </c>
      <c r="G126" s="264">
        <v>240</v>
      </c>
      <c r="H126" s="264" t="s">
        <v>415</v>
      </c>
      <c r="I126" s="264" t="s">
        <v>416</v>
      </c>
      <c r="J126" s="264" t="s">
        <v>932</v>
      </c>
      <c r="K126" s="264" t="s">
        <v>684</v>
      </c>
      <c r="L126" s="264" t="s">
        <v>685</v>
      </c>
      <c r="M126" s="264" t="s">
        <v>441</v>
      </c>
      <c r="N126" s="265" t="s">
        <v>497</v>
      </c>
      <c r="O126" s="265" t="s">
        <v>498</v>
      </c>
      <c r="P126" s="264" t="s">
        <v>781</v>
      </c>
      <c r="Q126" s="264" t="s">
        <v>780</v>
      </c>
      <c r="R126" s="264" t="s">
        <v>424</v>
      </c>
      <c r="S126" s="264" t="s">
        <v>425</v>
      </c>
      <c r="T126" s="264">
        <v>1</v>
      </c>
      <c r="U126" s="265">
        <v>1</v>
      </c>
      <c r="V126" s="265">
        <v>0</v>
      </c>
    </row>
    <row r="127" spans="2:22" ht="13.5">
      <c r="B127" s="263" t="s">
        <v>1003</v>
      </c>
      <c r="C127" s="263" t="s">
        <v>1005</v>
      </c>
      <c r="D127" s="263" t="s">
        <v>959</v>
      </c>
      <c r="E127" s="264">
        <v>19</v>
      </c>
      <c r="F127" s="264" t="s">
        <v>414</v>
      </c>
      <c r="G127" s="264">
        <v>240</v>
      </c>
      <c r="H127" s="264" t="s">
        <v>415</v>
      </c>
      <c r="I127" s="264" t="s">
        <v>416</v>
      </c>
      <c r="J127" s="264" t="s">
        <v>932</v>
      </c>
      <c r="K127" s="264" t="s">
        <v>426</v>
      </c>
      <c r="L127" s="264" t="s">
        <v>427</v>
      </c>
      <c r="M127" s="264" t="s">
        <v>428</v>
      </c>
      <c r="N127" s="265" t="s">
        <v>420</v>
      </c>
      <c r="O127" s="265" t="s">
        <v>421</v>
      </c>
      <c r="P127" s="264" t="s">
        <v>782</v>
      </c>
      <c r="Q127" s="264" t="s">
        <v>783</v>
      </c>
      <c r="R127" s="264" t="s">
        <v>424</v>
      </c>
      <c r="S127" s="264" t="s">
        <v>425</v>
      </c>
      <c r="T127" s="264">
        <v>1</v>
      </c>
      <c r="U127" s="265">
        <v>1</v>
      </c>
      <c r="V127" s="265">
        <v>0</v>
      </c>
    </row>
    <row r="128" spans="2:22" ht="13.5">
      <c r="B128" s="263" t="s">
        <v>1006</v>
      </c>
      <c r="C128" s="263" t="s">
        <v>1004</v>
      </c>
      <c r="D128" s="263" t="s">
        <v>960</v>
      </c>
      <c r="E128" s="264">
        <v>18</v>
      </c>
      <c r="F128" s="264" t="s">
        <v>414</v>
      </c>
      <c r="G128" s="264">
        <v>0</v>
      </c>
      <c r="H128" s="264" t="s">
        <v>415</v>
      </c>
      <c r="I128" s="264" t="s">
        <v>416</v>
      </c>
      <c r="J128" s="264" t="s">
        <v>784</v>
      </c>
      <c r="K128" s="264" t="s">
        <v>785</v>
      </c>
      <c r="L128" s="264" t="s">
        <v>786</v>
      </c>
      <c r="M128" s="264" t="s">
        <v>428</v>
      </c>
      <c r="N128" s="265" t="s">
        <v>636</v>
      </c>
      <c r="O128" s="265" t="s">
        <v>787</v>
      </c>
      <c r="P128" s="264" t="s">
        <v>788</v>
      </c>
      <c r="Q128" s="264" t="s">
        <v>789</v>
      </c>
      <c r="R128" s="264" t="s">
        <v>424</v>
      </c>
      <c r="S128" s="264" t="s">
        <v>425</v>
      </c>
      <c r="T128" s="264">
        <v>1</v>
      </c>
      <c r="U128" s="265">
        <v>1</v>
      </c>
      <c r="V128" s="265">
        <v>1</v>
      </c>
    </row>
    <row r="129" spans="2:22" ht="13.5">
      <c r="B129" s="263" t="s">
        <v>1006</v>
      </c>
      <c r="C129" s="263" t="s">
        <v>1004</v>
      </c>
      <c r="D129" s="263" t="s">
        <v>960</v>
      </c>
      <c r="E129" s="264">
        <v>18</v>
      </c>
      <c r="F129" s="264" t="s">
        <v>414</v>
      </c>
      <c r="G129" s="264">
        <v>0</v>
      </c>
      <c r="H129" s="264" t="s">
        <v>415</v>
      </c>
      <c r="I129" s="264" t="s">
        <v>416</v>
      </c>
      <c r="J129" s="264" t="s">
        <v>784</v>
      </c>
      <c r="K129" s="264" t="s">
        <v>790</v>
      </c>
      <c r="L129" s="264" t="s">
        <v>791</v>
      </c>
      <c r="M129" s="264" t="s">
        <v>510</v>
      </c>
      <c r="N129" s="265" t="s">
        <v>636</v>
      </c>
      <c r="O129" s="265" t="s">
        <v>787</v>
      </c>
      <c r="P129" s="264" t="s">
        <v>792</v>
      </c>
      <c r="Q129" s="264" t="s">
        <v>789</v>
      </c>
      <c r="R129" s="264" t="s">
        <v>424</v>
      </c>
      <c r="S129" s="264" t="s">
        <v>425</v>
      </c>
      <c r="T129" s="264">
        <v>1</v>
      </c>
      <c r="U129" s="265">
        <v>1</v>
      </c>
      <c r="V129" s="265">
        <v>0</v>
      </c>
    </row>
    <row r="130" spans="2:22" ht="13.5">
      <c r="B130" s="263" t="s">
        <v>1006</v>
      </c>
      <c r="C130" s="263" t="s">
        <v>1004</v>
      </c>
      <c r="D130" s="263" t="s">
        <v>960</v>
      </c>
      <c r="E130" s="264">
        <v>18</v>
      </c>
      <c r="F130" s="264" t="s">
        <v>414</v>
      </c>
      <c r="G130" s="264">
        <v>0</v>
      </c>
      <c r="H130" s="264" t="s">
        <v>415</v>
      </c>
      <c r="I130" s="264" t="s">
        <v>416</v>
      </c>
      <c r="J130" s="264" t="s">
        <v>784</v>
      </c>
      <c r="K130" s="264" t="s">
        <v>456</v>
      </c>
      <c r="L130" s="264" t="s">
        <v>457</v>
      </c>
      <c r="M130" s="264" t="s">
        <v>432</v>
      </c>
      <c r="N130" s="265" t="s">
        <v>636</v>
      </c>
      <c r="O130" s="265" t="s">
        <v>787</v>
      </c>
      <c r="P130" s="264" t="s">
        <v>788</v>
      </c>
      <c r="Q130" s="264" t="s">
        <v>793</v>
      </c>
      <c r="R130" s="264" t="s">
        <v>424</v>
      </c>
      <c r="S130" s="264" t="s">
        <v>425</v>
      </c>
      <c r="T130" s="264">
        <v>1</v>
      </c>
      <c r="U130" s="265">
        <v>1</v>
      </c>
      <c r="V130" s="265">
        <v>0</v>
      </c>
    </row>
    <row r="131" spans="2:22" ht="13.5">
      <c r="B131" s="263" t="s">
        <v>1006</v>
      </c>
      <c r="C131" s="263" t="s">
        <v>1004</v>
      </c>
      <c r="D131" s="263" t="s">
        <v>960</v>
      </c>
      <c r="E131" s="264">
        <v>18</v>
      </c>
      <c r="F131" s="264" t="s">
        <v>414</v>
      </c>
      <c r="G131" s="264">
        <v>0</v>
      </c>
      <c r="H131" s="264" t="s">
        <v>415</v>
      </c>
      <c r="I131" s="264" t="s">
        <v>416</v>
      </c>
      <c r="J131" s="264" t="s">
        <v>784</v>
      </c>
      <c r="K131" s="264" t="s">
        <v>634</v>
      </c>
      <c r="L131" s="264" t="s">
        <v>635</v>
      </c>
      <c r="M131" s="264" t="s">
        <v>428</v>
      </c>
      <c r="N131" s="265" t="s">
        <v>636</v>
      </c>
      <c r="O131" s="265" t="s">
        <v>787</v>
      </c>
      <c r="P131" s="264" t="s">
        <v>788</v>
      </c>
      <c r="Q131" s="264" t="s">
        <v>794</v>
      </c>
      <c r="R131" s="264" t="s">
        <v>424</v>
      </c>
      <c r="S131" s="264" t="s">
        <v>425</v>
      </c>
      <c r="T131" s="264">
        <v>1</v>
      </c>
      <c r="U131" s="265">
        <v>1</v>
      </c>
      <c r="V131" s="265">
        <v>0</v>
      </c>
    </row>
    <row r="132" spans="2:22" ht="13.5">
      <c r="B132" s="263" t="s">
        <v>1007</v>
      </c>
      <c r="C132" s="263" t="s">
        <v>1008</v>
      </c>
      <c r="D132" s="263" t="s">
        <v>961</v>
      </c>
      <c r="E132" s="264">
        <v>19</v>
      </c>
      <c r="F132" s="264" t="s">
        <v>414</v>
      </c>
      <c r="G132" s="264">
        <v>10</v>
      </c>
      <c r="H132" s="264" t="s">
        <v>415</v>
      </c>
      <c r="I132" s="264" t="s">
        <v>416</v>
      </c>
      <c r="J132" s="264" t="s">
        <v>923</v>
      </c>
      <c r="K132" s="264" t="s">
        <v>795</v>
      </c>
      <c r="L132" s="264" t="s">
        <v>796</v>
      </c>
      <c r="M132" s="264" t="s">
        <v>485</v>
      </c>
      <c r="N132" s="265" t="s">
        <v>730</v>
      </c>
      <c r="O132" s="265" t="s">
        <v>731</v>
      </c>
      <c r="P132" s="264" t="s">
        <v>797</v>
      </c>
      <c r="Q132" s="264" t="s">
        <v>798</v>
      </c>
      <c r="R132" s="264" t="s">
        <v>586</v>
      </c>
      <c r="S132" s="264" t="s">
        <v>425</v>
      </c>
      <c r="T132" s="264">
        <v>1</v>
      </c>
      <c r="U132" s="265">
        <v>1</v>
      </c>
      <c r="V132" s="265">
        <v>0</v>
      </c>
    </row>
    <row r="133" spans="2:22" ht="13.5">
      <c r="B133" s="263" t="s">
        <v>1007</v>
      </c>
      <c r="C133" s="263" t="s">
        <v>1008</v>
      </c>
      <c r="D133" s="263" t="s">
        <v>961</v>
      </c>
      <c r="E133" s="264">
        <v>19</v>
      </c>
      <c r="F133" s="264" t="s">
        <v>414</v>
      </c>
      <c r="G133" s="264">
        <v>10</v>
      </c>
      <c r="H133" s="264" t="s">
        <v>415</v>
      </c>
      <c r="I133" s="264" t="s">
        <v>416</v>
      </c>
      <c r="J133" s="264" t="s">
        <v>923</v>
      </c>
      <c r="K133" s="264" t="s">
        <v>516</v>
      </c>
      <c r="L133" s="264" t="s">
        <v>517</v>
      </c>
      <c r="M133" s="264" t="s">
        <v>485</v>
      </c>
      <c r="N133" s="265" t="s">
        <v>420</v>
      </c>
      <c r="O133" s="265" t="s">
        <v>799</v>
      </c>
      <c r="P133" s="264" t="s">
        <v>800</v>
      </c>
      <c r="Q133" s="264" t="s">
        <v>801</v>
      </c>
      <c r="R133" s="264" t="s">
        <v>424</v>
      </c>
      <c r="S133" s="264" t="s">
        <v>425</v>
      </c>
      <c r="T133" s="264">
        <v>1</v>
      </c>
      <c r="U133" s="265">
        <v>1</v>
      </c>
      <c r="V133" s="265">
        <v>0</v>
      </c>
    </row>
    <row r="134" spans="2:22" ht="13.5">
      <c r="B134" s="263" t="s">
        <v>1007</v>
      </c>
      <c r="C134" s="263" t="s">
        <v>1008</v>
      </c>
      <c r="D134" s="263" t="s">
        <v>961</v>
      </c>
      <c r="E134" s="264">
        <v>19</v>
      </c>
      <c r="F134" s="264" t="s">
        <v>414</v>
      </c>
      <c r="G134" s="264">
        <v>10</v>
      </c>
      <c r="H134" s="264" t="s">
        <v>415</v>
      </c>
      <c r="I134" s="264" t="s">
        <v>416</v>
      </c>
      <c r="J134" s="264" t="s">
        <v>923</v>
      </c>
      <c r="K134" s="264" t="s">
        <v>802</v>
      </c>
      <c r="L134" s="264" t="s">
        <v>803</v>
      </c>
      <c r="M134" s="264" t="s">
        <v>485</v>
      </c>
      <c r="N134" s="265" t="s">
        <v>636</v>
      </c>
      <c r="O134" s="265" t="s">
        <v>787</v>
      </c>
      <c r="P134" s="264" t="s">
        <v>804</v>
      </c>
      <c r="Q134" s="264" t="s">
        <v>798</v>
      </c>
      <c r="R134" s="264" t="s">
        <v>586</v>
      </c>
      <c r="S134" s="264" t="s">
        <v>425</v>
      </c>
      <c r="T134" s="264">
        <v>1</v>
      </c>
      <c r="U134" s="265">
        <v>1</v>
      </c>
      <c r="V134" s="265">
        <v>1</v>
      </c>
    </row>
    <row r="135" spans="2:22" ht="13.5">
      <c r="B135" s="263" t="s">
        <v>1007</v>
      </c>
      <c r="C135" s="263" t="s">
        <v>1008</v>
      </c>
      <c r="D135" s="263" t="s">
        <v>961</v>
      </c>
      <c r="E135" s="264">
        <v>19</v>
      </c>
      <c r="F135" s="264" t="s">
        <v>414</v>
      </c>
      <c r="G135" s="264">
        <v>10</v>
      </c>
      <c r="H135" s="264" t="s">
        <v>415</v>
      </c>
      <c r="I135" s="264" t="s">
        <v>416</v>
      </c>
      <c r="J135" s="264" t="s">
        <v>923</v>
      </c>
      <c r="K135" s="264" t="s">
        <v>642</v>
      </c>
      <c r="L135" s="264" t="s">
        <v>643</v>
      </c>
      <c r="M135" s="264" t="s">
        <v>485</v>
      </c>
      <c r="N135" s="265" t="s">
        <v>636</v>
      </c>
      <c r="O135" s="265" t="s">
        <v>787</v>
      </c>
      <c r="P135" s="264" t="s">
        <v>805</v>
      </c>
      <c r="Q135" s="264" t="s">
        <v>806</v>
      </c>
      <c r="R135" s="264" t="s">
        <v>424</v>
      </c>
      <c r="S135" s="264" t="s">
        <v>425</v>
      </c>
      <c r="T135" s="264">
        <v>1</v>
      </c>
      <c r="U135" s="265">
        <v>1</v>
      </c>
      <c r="V135" s="265">
        <v>0</v>
      </c>
    </row>
    <row r="136" spans="2:22" ht="13.5">
      <c r="B136" s="263" t="s">
        <v>1007</v>
      </c>
      <c r="C136" s="263" t="s">
        <v>1008</v>
      </c>
      <c r="D136" s="263" t="s">
        <v>961</v>
      </c>
      <c r="E136" s="264">
        <v>19</v>
      </c>
      <c r="F136" s="264" t="s">
        <v>414</v>
      </c>
      <c r="G136" s="264">
        <v>10</v>
      </c>
      <c r="H136" s="264" t="s">
        <v>415</v>
      </c>
      <c r="I136" s="264" t="s">
        <v>416</v>
      </c>
      <c r="J136" s="264" t="s">
        <v>923</v>
      </c>
      <c r="K136" s="264" t="s">
        <v>601</v>
      </c>
      <c r="L136" s="264" t="s">
        <v>602</v>
      </c>
      <c r="M136" s="264" t="s">
        <v>485</v>
      </c>
      <c r="N136" s="265" t="s">
        <v>730</v>
      </c>
      <c r="O136" s="265" t="s">
        <v>731</v>
      </c>
      <c r="P136" s="264" t="s">
        <v>807</v>
      </c>
      <c r="Q136" s="264" t="s">
        <v>808</v>
      </c>
      <c r="R136" s="264" t="s">
        <v>586</v>
      </c>
      <c r="S136" s="264" t="s">
        <v>425</v>
      </c>
      <c r="T136" s="264">
        <v>1</v>
      </c>
      <c r="U136" s="265">
        <v>1</v>
      </c>
      <c r="V136" s="265">
        <v>0</v>
      </c>
    </row>
    <row r="137" spans="2:22" ht="13.5">
      <c r="B137" s="263" t="s">
        <v>1009</v>
      </c>
      <c r="C137" s="263" t="s">
        <v>1010</v>
      </c>
      <c r="D137" s="263" t="s">
        <v>962</v>
      </c>
      <c r="E137" s="264">
        <v>18</v>
      </c>
      <c r="F137" s="264" t="s">
        <v>442</v>
      </c>
      <c r="G137" s="264">
        <v>260</v>
      </c>
      <c r="H137" s="264" t="s">
        <v>415</v>
      </c>
      <c r="I137" s="264" t="s">
        <v>838</v>
      </c>
      <c r="J137" s="264" t="s">
        <v>922</v>
      </c>
      <c r="K137" s="264" t="s">
        <v>717</v>
      </c>
      <c r="L137" s="264" t="s">
        <v>718</v>
      </c>
      <c r="M137" s="264" t="s">
        <v>482</v>
      </c>
      <c r="N137" s="265" t="s">
        <v>809</v>
      </c>
      <c r="O137" s="265" t="s">
        <v>810</v>
      </c>
      <c r="P137" s="264" t="s">
        <v>811</v>
      </c>
      <c r="Q137" s="264" t="s">
        <v>812</v>
      </c>
      <c r="R137" s="264" t="s">
        <v>424</v>
      </c>
      <c r="S137" s="264" t="s">
        <v>425</v>
      </c>
      <c r="T137" s="264">
        <v>1</v>
      </c>
      <c r="U137" s="265">
        <v>1</v>
      </c>
      <c r="V137" s="265">
        <v>0</v>
      </c>
    </row>
    <row r="138" spans="2:22" ht="13.5">
      <c r="B138" s="263" t="s">
        <v>1009</v>
      </c>
      <c r="C138" s="263" t="s">
        <v>1010</v>
      </c>
      <c r="D138" s="263" t="s">
        <v>962</v>
      </c>
      <c r="E138" s="264">
        <v>18</v>
      </c>
      <c r="F138" s="264" t="s">
        <v>442</v>
      </c>
      <c r="G138" s="264">
        <v>260</v>
      </c>
      <c r="H138" s="264" t="s">
        <v>415</v>
      </c>
      <c r="I138" s="264" t="s">
        <v>838</v>
      </c>
      <c r="J138" s="264" t="s">
        <v>922</v>
      </c>
      <c r="K138" s="264" t="s">
        <v>813</v>
      </c>
      <c r="L138" s="264" t="s">
        <v>814</v>
      </c>
      <c r="M138" s="264" t="s">
        <v>493</v>
      </c>
      <c r="N138" s="265" t="s">
        <v>809</v>
      </c>
      <c r="O138" s="265" t="s">
        <v>810</v>
      </c>
      <c r="P138" s="264" t="s">
        <v>811</v>
      </c>
      <c r="Q138" s="264" t="s">
        <v>812</v>
      </c>
      <c r="R138" s="264" t="s">
        <v>424</v>
      </c>
      <c r="S138" s="264" t="s">
        <v>425</v>
      </c>
      <c r="T138" s="264">
        <v>1</v>
      </c>
      <c r="U138" s="265">
        <v>1</v>
      </c>
      <c r="V138" s="265">
        <v>0</v>
      </c>
    </row>
    <row r="139" spans="2:22" ht="13.5">
      <c r="B139" s="263" t="s">
        <v>1009</v>
      </c>
      <c r="C139" s="263" t="s">
        <v>1010</v>
      </c>
      <c r="D139" s="263" t="s">
        <v>962</v>
      </c>
      <c r="E139" s="264">
        <v>18</v>
      </c>
      <c r="F139" s="264" t="s">
        <v>442</v>
      </c>
      <c r="G139" s="264">
        <v>260</v>
      </c>
      <c r="H139" s="264" t="s">
        <v>415</v>
      </c>
      <c r="I139" s="264" t="s">
        <v>838</v>
      </c>
      <c r="J139" s="264" t="s">
        <v>922</v>
      </c>
      <c r="K139" s="264" t="s">
        <v>815</v>
      </c>
      <c r="L139" s="264" t="s">
        <v>816</v>
      </c>
      <c r="M139" s="264" t="s">
        <v>496</v>
      </c>
      <c r="N139" s="265" t="s">
        <v>809</v>
      </c>
      <c r="O139" s="265" t="s">
        <v>810</v>
      </c>
      <c r="P139" s="264" t="s">
        <v>811</v>
      </c>
      <c r="Q139" s="264" t="s">
        <v>812</v>
      </c>
      <c r="R139" s="264" t="s">
        <v>424</v>
      </c>
      <c r="S139" s="264" t="s">
        <v>425</v>
      </c>
      <c r="T139" s="264">
        <v>1</v>
      </c>
      <c r="U139" s="265">
        <v>1</v>
      </c>
      <c r="V139" s="265">
        <v>0</v>
      </c>
    </row>
    <row r="140" spans="2:22" ht="13.5">
      <c r="B140" s="263" t="s">
        <v>1009</v>
      </c>
      <c r="C140" s="263" t="s">
        <v>1010</v>
      </c>
      <c r="D140" s="263" t="s">
        <v>962</v>
      </c>
      <c r="E140" s="264">
        <v>18</v>
      </c>
      <c r="F140" s="264" t="s">
        <v>442</v>
      </c>
      <c r="G140" s="264">
        <v>260</v>
      </c>
      <c r="H140" s="264" t="s">
        <v>415</v>
      </c>
      <c r="I140" s="264" t="s">
        <v>838</v>
      </c>
      <c r="J140" s="264" t="s">
        <v>922</v>
      </c>
      <c r="K140" s="264" t="s">
        <v>817</v>
      </c>
      <c r="L140" s="264" t="s">
        <v>818</v>
      </c>
      <c r="M140" s="264" t="s">
        <v>482</v>
      </c>
      <c r="N140" s="265" t="s">
        <v>809</v>
      </c>
      <c r="O140" s="265" t="s">
        <v>810</v>
      </c>
      <c r="P140" s="264" t="s">
        <v>811</v>
      </c>
      <c r="Q140" s="264" t="s">
        <v>812</v>
      </c>
      <c r="R140" s="264" t="s">
        <v>424</v>
      </c>
      <c r="S140" s="264" t="s">
        <v>425</v>
      </c>
      <c r="T140" s="264">
        <v>1</v>
      </c>
      <c r="U140" s="265">
        <v>1</v>
      </c>
      <c r="V140" s="265">
        <v>0</v>
      </c>
    </row>
    <row r="141" spans="2:22" ht="13.5">
      <c r="B141" s="263" t="s">
        <v>1009</v>
      </c>
      <c r="C141" s="263" t="s">
        <v>1010</v>
      </c>
      <c r="D141" s="263" t="s">
        <v>962</v>
      </c>
      <c r="E141" s="264">
        <v>18</v>
      </c>
      <c r="F141" s="264" t="s">
        <v>442</v>
      </c>
      <c r="G141" s="264">
        <v>260</v>
      </c>
      <c r="H141" s="264" t="s">
        <v>415</v>
      </c>
      <c r="I141" s="264" t="s">
        <v>838</v>
      </c>
      <c r="J141" s="264" t="s">
        <v>922</v>
      </c>
      <c r="K141" s="264" t="s">
        <v>491</v>
      </c>
      <c r="L141" s="264" t="s">
        <v>492</v>
      </c>
      <c r="M141" s="264" t="s">
        <v>493</v>
      </c>
      <c r="N141" s="265" t="s">
        <v>809</v>
      </c>
      <c r="O141" s="265" t="s">
        <v>810</v>
      </c>
      <c r="P141" s="264" t="s">
        <v>811</v>
      </c>
      <c r="Q141" s="264" t="s">
        <v>812</v>
      </c>
      <c r="R141" s="264" t="s">
        <v>424</v>
      </c>
      <c r="S141" s="264" t="s">
        <v>425</v>
      </c>
      <c r="T141" s="264">
        <v>1</v>
      </c>
      <c r="U141" s="265">
        <v>1</v>
      </c>
      <c r="V141" s="265">
        <v>0</v>
      </c>
    </row>
    <row r="142" spans="2:22" ht="13.5">
      <c r="B142" s="263" t="s">
        <v>1009</v>
      </c>
      <c r="C142" s="263" t="s">
        <v>1010</v>
      </c>
      <c r="D142" s="263" t="s">
        <v>962</v>
      </c>
      <c r="E142" s="264">
        <v>18</v>
      </c>
      <c r="F142" s="264" t="s">
        <v>442</v>
      </c>
      <c r="G142" s="264">
        <v>260</v>
      </c>
      <c r="H142" s="264" t="s">
        <v>415</v>
      </c>
      <c r="I142" s="264" t="s">
        <v>838</v>
      </c>
      <c r="J142" s="264" t="s">
        <v>922</v>
      </c>
      <c r="K142" s="264" t="s">
        <v>717</v>
      </c>
      <c r="L142" s="264" t="s">
        <v>718</v>
      </c>
      <c r="M142" s="264" t="s">
        <v>482</v>
      </c>
      <c r="N142" s="265" t="s">
        <v>819</v>
      </c>
      <c r="O142" s="265" t="s">
        <v>820</v>
      </c>
      <c r="P142" s="264" t="s">
        <v>821</v>
      </c>
      <c r="Q142" s="264" t="s">
        <v>822</v>
      </c>
      <c r="R142" s="264" t="s">
        <v>424</v>
      </c>
      <c r="S142" s="264" t="s">
        <v>474</v>
      </c>
      <c r="T142" s="264">
        <v>1</v>
      </c>
      <c r="U142" s="265">
        <v>0</v>
      </c>
      <c r="V142" s="265">
        <v>1</v>
      </c>
    </row>
    <row r="143" spans="2:22" ht="13.5">
      <c r="B143" s="263" t="s">
        <v>1011</v>
      </c>
      <c r="C143" s="263" t="s">
        <v>1012</v>
      </c>
      <c r="D143" s="263" t="s">
        <v>963</v>
      </c>
      <c r="E143" s="264">
        <v>27</v>
      </c>
      <c r="F143" s="264" t="s">
        <v>414</v>
      </c>
      <c r="G143" s="264">
        <v>0</v>
      </c>
      <c r="H143" s="264" t="s">
        <v>415</v>
      </c>
      <c r="I143" s="264" t="s">
        <v>416</v>
      </c>
      <c r="J143" s="264" t="s">
        <v>925</v>
      </c>
      <c r="K143" s="264" t="s">
        <v>537</v>
      </c>
      <c r="L143" s="264" t="s">
        <v>340</v>
      </c>
      <c r="M143" s="264" t="s">
        <v>538</v>
      </c>
      <c r="N143" s="265" t="s">
        <v>497</v>
      </c>
      <c r="O143" s="265" t="s">
        <v>823</v>
      </c>
      <c r="P143" s="264" t="s">
        <v>824</v>
      </c>
      <c r="Q143" s="264" t="s">
        <v>825</v>
      </c>
      <c r="R143" s="264" t="s">
        <v>424</v>
      </c>
      <c r="S143" s="264" t="s">
        <v>425</v>
      </c>
      <c r="T143" s="264">
        <v>1</v>
      </c>
      <c r="U143" s="265">
        <v>1</v>
      </c>
      <c r="V143" s="265">
        <v>1</v>
      </c>
    </row>
    <row r="144" spans="2:22" ht="13.5">
      <c r="B144" s="263" t="s">
        <v>1011</v>
      </c>
      <c r="C144" s="263" t="s">
        <v>1012</v>
      </c>
      <c r="D144" s="263" t="s">
        <v>963</v>
      </c>
      <c r="E144" s="264">
        <v>27</v>
      </c>
      <c r="F144" s="264" t="s">
        <v>414</v>
      </c>
      <c r="G144" s="264">
        <v>0</v>
      </c>
      <c r="H144" s="264" t="s">
        <v>415</v>
      </c>
      <c r="I144" s="264" t="s">
        <v>416</v>
      </c>
      <c r="J144" s="264" t="s">
        <v>925</v>
      </c>
      <c r="K144" s="264" t="s">
        <v>826</v>
      </c>
      <c r="L144" s="264" t="s">
        <v>827</v>
      </c>
      <c r="M144" s="264" t="s">
        <v>538</v>
      </c>
      <c r="N144" s="265" t="s">
        <v>497</v>
      </c>
      <c r="O144" s="265" t="s">
        <v>823</v>
      </c>
      <c r="P144" s="264" t="s">
        <v>828</v>
      </c>
      <c r="Q144" s="264" t="s">
        <v>825</v>
      </c>
      <c r="R144" s="264" t="s">
        <v>424</v>
      </c>
      <c r="S144" s="264" t="s">
        <v>425</v>
      </c>
      <c r="T144" s="264">
        <v>1</v>
      </c>
      <c r="U144" s="265">
        <v>1</v>
      </c>
      <c r="V144" s="265">
        <v>0</v>
      </c>
    </row>
    <row r="145" spans="2:22" ht="13.5">
      <c r="B145" s="263" t="s">
        <v>1011</v>
      </c>
      <c r="C145" s="263" t="s">
        <v>1012</v>
      </c>
      <c r="D145" s="263" t="s">
        <v>963</v>
      </c>
      <c r="E145" s="264">
        <v>27</v>
      </c>
      <c r="F145" s="264" t="s">
        <v>414</v>
      </c>
      <c r="G145" s="264">
        <v>0</v>
      </c>
      <c r="H145" s="264" t="s">
        <v>415</v>
      </c>
      <c r="I145" s="264" t="s">
        <v>416</v>
      </c>
      <c r="J145" s="264" t="s">
        <v>925</v>
      </c>
      <c r="K145" s="264" t="s">
        <v>829</v>
      </c>
      <c r="L145" s="264" t="s">
        <v>830</v>
      </c>
      <c r="M145" s="264" t="s">
        <v>538</v>
      </c>
      <c r="N145" s="265" t="s">
        <v>497</v>
      </c>
      <c r="O145" s="265" t="s">
        <v>823</v>
      </c>
      <c r="P145" s="264" t="s">
        <v>828</v>
      </c>
      <c r="Q145" s="264" t="s">
        <v>825</v>
      </c>
      <c r="R145" s="264" t="s">
        <v>424</v>
      </c>
      <c r="S145" s="264" t="s">
        <v>425</v>
      </c>
      <c r="T145" s="264">
        <v>1</v>
      </c>
      <c r="U145" s="265">
        <v>1</v>
      </c>
      <c r="V145" s="265">
        <v>0</v>
      </c>
    </row>
    <row r="146" spans="2:22" ht="13.5">
      <c r="B146" s="263" t="s">
        <v>1011</v>
      </c>
      <c r="C146" s="263" t="s">
        <v>1012</v>
      </c>
      <c r="D146" s="263" t="s">
        <v>963</v>
      </c>
      <c r="E146" s="264">
        <v>27</v>
      </c>
      <c r="F146" s="264" t="s">
        <v>414</v>
      </c>
      <c r="G146" s="264">
        <v>0</v>
      </c>
      <c r="H146" s="264" t="s">
        <v>415</v>
      </c>
      <c r="I146" s="264" t="s">
        <v>416</v>
      </c>
      <c r="J146" s="264" t="s">
        <v>925</v>
      </c>
      <c r="K146" s="264" t="s">
        <v>435</v>
      </c>
      <c r="L146" s="264" t="s">
        <v>436</v>
      </c>
      <c r="M146" s="264" t="s">
        <v>419</v>
      </c>
      <c r="N146" s="265" t="s">
        <v>497</v>
      </c>
      <c r="O146" s="265" t="s">
        <v>823</v>
      </c>
      <c r="P146" s="264" t="s">
        <v>828</v>
      </c>
      <c r="Q146" s="264" t="s">
        <v>825</v>
      </c>
      <c r="R146" s="264" t="s">
        <v>424</v>
      </c>
      <c r="S146" s="264" t="s">
        <v>425</v>
      </c>
      <c r="T146" s="264">
        <v>1</v>
      </c>
      <c r="U146" s="265">
        <v>1</v>
      </c>
      <c r="V146" s="265">
        <v>0</v>
      </c>
    </row>
    <row r="147" spans="2:22" ht="13.5">
      <c r="B147" s="263" t="s">
        <v>1011</v>
      </c>
      <c r="C147" s="263" t="s">
        <v>1012</v>
      </c>
      <c r="D147" s="263" t="s">
        <v>963</v>
      </c>
      <c r="E147" s="264">
        <v>27</v>
      </c>
      <c r="F147" s="264" t="s">
        <v>414</v>
      </c>
      <c r="G147" s="264">
        <v>0</v>
      </c>
      <c r="H147" s="264" t="s">
        <v>415</v>
      </c>
      <c r="I147" s="264" t="s">
        <v>416</v>
      </c>
      <c r="J147" s="264" t="s">
        <v>925</v>
      </c>
      <c r="K147" s="264" t="s">
        <v>831</v>
      </c>
      <c r="L147" s="264" t="s">
        <v>832</v>
      </c>
      <c r="M147" s="264" t="s">
        <v>538</v>
      </c>
      <c r="N147" s="265" t="s">
        <v>639</v>
      </c>
      <c r="O147" s="265" t="s">
        <v>772</v>
      </c>
      <c r="P147" s="264" t="s">
        <v>833</v>
      </c>
      <c r="Q147" s="264" t="s">
        <v>834</v>
      </c>
      <c r="R147" s="264" t="s">
        <v>424</v>
      </c>
      <c r="S147" s="264" t="s">
        <v>425</v>
      </c>
      <c r="T147" s="264">
        <v>1</v>
      </c>
      <c r="U147" s="265">
        <v>1</v>
      </c>
      <c r="V147" s="265">
        <v>0</v>
      </c>
    </row>
    <row r="148" spans="2:22" ht="13.5">
      <c r="B148" s="263" t="s">
        <v>1029</v>
      </c>
      <c r="C148" s="263" t="s">
        <v>1030</v>
      </c>
      <c r="D148" s="263" t="s">
        <v>964</v>
      </c>
      <c r="E148" s="264">
        <v>31</v>
      </c>
      <c r="F148" s="264" t="s">
        <v>414</v>
      </c>
      <c r="G148" s="264">
        <v>0</v>
      </c>
      <c r="H148" s="264" t="s">
        <v>415</v>
      </c>
      <c r="I148" s="264" t="s">
        <v>416</v>
      </c>
      <c r="J148" s="264" t="s">
        <v>922</v>
      </c>
      <c r="K148" s="264" t="s">
        <v>835</v>
      </c>
      <c r="L148" s="264" t="s">
        <v>836</v>
      </c>
      <c r="M148" s="264" t="s">
        <v>419</v>
      </c>
      <c r="N148" s="265" t="s">
        <v>591</v>
      </c>
      <c r="O148" s="265" t="s">
        <v>677</v>
      </c>
      <c r="P148" s="264" t="s">
        <v>723</v>
      </c>
      <c r="Q148" s="264" t="s">
        <v>837</v>
      </c>
      <c r="R148" s="264" t="s">
        <v>424</v>
      </c>
      <c r="S148" s="264" t="s">
        <v>425</v>
      </c>
      <c r="T148" s="264">
        <v>1</v>
      </c>
      <c r="U148" s="265">
        <v>1</v>
      </c>
      <c r="V148" s="265">
        <v>1</v>
      </c>
    </row>
    <row r="149" spans="2:22" ht="13.5">
      <c r="B149" s="263" t="s">
        <v>1013</v>
      </c>
      <c r="C149" s="263" t="s">
        <v>1014</v>
      </c>
      <c r="D149" s="263" t="s">
        <v>965</v>
      </c>
      <c r="E149" s="264">
        <v>21</v>
      </c>
      <c r="F149" s="264" t="s">
        <v>414</v>
      </c>
      <c r="G149" s="264">
        <v>0</v>
      </c>
      <c r="H149" s="264" t="s">
        <v>415</v>
      </c>
      <c r="I149" s="264" t="s">
        <v>416</v>
      </c>
      <c r="J149" s="264" t="s">
        <v>839</v>
      </c>
      <c r="K149" s="264" t="s">
        <v>580</v>
      </c>
      <c r="L149" s="264" t="s">
        <v>581</v>
      </c>
      <c r="M149" s="264" t="s">
        <v>432</v>
      </c>
      <c r="N149" s="265" t="s">
        <v>567</v>
      </c>
      <c r="O149" s="265" t="s">
        <v>568</v>
      </c>
      <c r="P149" s="264" t="s">
        <v>840</v>
      </c>
      <c r="Q149" s="264" t="s">
        <v>841</v>
      </c>
      <c r="R149" s="264" t="s">
        <v>424</v>
      </c>
      <c r="S149" s="264" t="s">
        <v>425</v>
      </c>
      <c r="T149" s="264">
        <v>1</v>
      </c>
      <c r="U149" s="265">
        <v>1</v>
      </c>
      <c r="V149" s="265">
        <v>0</v>
      </c>
    </row>
    <row r="150" spans="2:22" ht="13.5">
      <c r="B150" s="263" t="s">
        <v>1013</v>
      </c>
      <c r="C150" s="263" t="s">
        <v>1014</v>
      </c>
      <c r="D150" s="263" t="s">
        <v>965</v>
      </c>
      <c r="E150" s="264">
        <v>21</v>
      </c>
      <c r="F150" s="264" t="s">
        <v>414</v>
      </c>
      <c r="G150" s="264">
        <v>0</v>
      </c>
      <c r="H150" s="264" t="s">
        <v>415</v>
      </c>
      <c r="I150" s="264" t="s">
        <v>416</v>
      </c>
      <c r="J150" s="264" t="s">
        <v>839</v>
      </c>
      <c r="K150" s="264" t="s">
        <v>565</v>
      </c>
      <c r="L150" s="264" t="s">
        <v>566</v>
      </c>
      <c r="M150" s="264" t="s">
        <v>441</v>
      </c>
      <c r="N150" s="265" t="s">
        <v>636</v>
      </c>
      <c r="O150" s="265" t="s">
        <v>637</v>
      </c>
      <c r="P150" s="264" t="s">
        <v>842</v>
      </c>
      <c r="Q150" s="264" t="s">
        <v>843</v>
      </c>
      <c r="R150" s="264" t="s">
        <v>424</v>
      </c>
      <c r="S150" s="264" t="s">
        <v>425</v>
      </c>
      <c r="T150" s="264">
        <v>1</v>
      </c>
      <c r="U150" s="265">
        <v>1</v>
      </c>
      <c r="V150" s="265">
        <v>0</v>
      </c>
    </row>
    <row r="151" spans="2:22" ht="13.5">
      <c r="B151" s="263" t="s">
        <v>1013</v>
      </c>
      <c r="C151" s="263" t="s">
        <v>1014</v>
      </c>
      <c r="D151" s="263" t="s">
        <v>965</v>
      </c>
      <c r="E151" s="264">
        <v>21</v>
      </c>
      <c r="F151" s="264" t="s">
        <v>414</v>
      </c>
      <c r="G151" s="264">
        <v>0</v>
      </c>
      <c r="H151" s="264" t="s">
        <v>415</v>
      </c>
      <c r="I151" s="264" t="s">
        <v>416</v>
      </c>
      <c r="J151" s="264" t="s">
        <v>839</v>
      </c>
      <c r="K151" s="264" t="s">
        <v>844</v>
      </c>
      <c r="L151" s="264" t="s">
        <v>845</v>
      </c>
      <c r="M151" s="264" t="s">
        <v>419</v>
      </c>
      <c r="N151" s="265" t="s">
        <v>636</v>
      </c>
      <c r="O151" s="265" t="s">
        <v>637</v>
      </c>
      <c r="P151" s="264" t="s">
        <v>842</v>
      </c>
      <c r="Q151" s="264" t="s">
        <v>843</v>
      </c>
      <c r="R151" s="264" t="s">
        <v>424</v>
      </c>
      <c r="S151" s="264" t="s">
        <v>425</v>
      </c>
      <c r="T151" s="264">
        <v>1</v>
      </c>
      <c r="U151" s="265">
        <v>1</v>
      </c>
      <c r="V151" s="265">
        <v>1</v>
      </c>
    </row>
    <row r="152" spans="2:22" ht="13.5">
      <c r="B152" s="263" t="s">
        <v>1013</v>
      </c>
      <c r="C152" s="263" t="s">
        <v>1014</v>
      </c>
      <c r="D152" s="263" t="s">
        <v>965</v>
      </c>
      <c r="E152" s="264">
        <v>21</v>
      </c>
      <c r="F152" s="264" t="s">
        <v>414</v>
      </c>
      <c r="G152" s="264">
        <v>0</v>
      </c>
      <c r="H152" s="264" t="s">
        <v>415</v>
      </c>
      <c r="I152" s="264" t="s">
        <v>416</v>
      </c>
      <c r="J152" s="264" t="s">
        <v>839</v>
      </c>
      <c r="K152" s="264" t="s">
        <v>565</v>
      </c>
      <c r="L152" s="264" t="s">
        <v>566</v>
      </c>
      <c r="M152" s="264" t="s">
        <v>441</v>
      </c>
      <c r="N152" s="265" t="s">
        <v>636</v>
      </c>
      <c r="O152" s="265" t="s">
        <v>747</v>
      </c>
      <c r="P152" s="264" t="s">
        <v>846</v>
      </c>
      <c r="Q152" s="264" t="s">
        <v>847</v>
      </c>
      <c r="R152" s="264" t="s">
        <v>424</v>
      </c>
      <c r="S152" s="264" t="s">
        <v>425</v>
      </c>
      <c r="T152" s="264">
        <v>1</v>
      </c>
      <c r="U152" s="265">
        <v>1</v>
      </c>
      <c r="V152" s="265">
        <v>0</v>
      </c>
    </row>
    <row r="153" spans="2:22" ht="13.5">
      <c r="B153" s="263" t="s">
        <v>1013</v>
      </c>
      <c r="C153" s="263" t="s">
        <v>1014</v>
      </c>
      <c r="D153" s="263" t="s">
        <v>965</v>
      </c>
      <c r="E153" s="264">
        <v>21</v>
      </c>
      <c r="F153" s="264" t="s">
        <v>414</v>
      </c>
      <c r="G153" s="264">
        <v>0</v>
      </c>
      <c r="H153" s="264" t="s">
        <v>415</v>
      </c>
      <c r="I153" s="264" t="s">
        <v>416</v>
      </c>
      <c r="J153" s="264" t="s">
        <v>839</v>
      </c>
      <c r="K153" s="264" t="s">
        <v>848</v>
      </c>
      <c r="L153" s="264" t="s">
        <v>849</v>
      </c>
      <c r="M153" s="264" t="s">
        <v>419</v>
      </c>
      <c r="N153" s="265" t="s">
        <v>636</v>
      </c>
      <c r="O153" s="265" t="s">
        <v>637</v>
      </c>
      <c r="P153" s="264" t="s">
        <v>850</v>
      </c>
      <c r="Q153" s="264" t="s">
        <v>843</v>
      </c>
      <c r="R153" s="264" t="s">
        <v>424</v>
      </c>
      <c r="S153" s="264" t="s">
        <v>425</v>
      </c>
      <c r="T153" s="264">
        <v>1</v>
      </c>
      <c r="U153" s="265">
        <v>1</v>
      </c>
      <c r="V153" s="265">
        <v>0</v>
      </c>
    </row>
    <row r="154" spans="2:22" ht="13.5">
      <c r="B154" s="263" t="s">
        <v>1015</v>
      </c>
      <c r="C154" s="263" t="s">
        <v>1016</v>
      </c>
      <c r="D154" s="263" t="s">
        <v>966</v>
      </c>
      <c r="E154" s="264">
        <v>24</v>
      </c>
      <c r="F154" s="264" t="s">
        <v>414</v>
      </c>
      <c r="G154" s="264">
        <v>10</v>
      </c>
      <c r="H154" s="264" t="s">
        <v>415</v>
      </c>
      <c r="I154" s="264" t="s">
        <v>416</v>
      </c>
      <c r="J154" s="264" t="s">
        <v>927</v>
      </c>
      <c r="K154" s="264" t="s">
        <v>851</v>
      </c>
      <c r="L154" s="264" t="s">
        <v>852</v>
      </c>
      <c r="M154" s="264" t="s">
        <v>493</v>
      </c>
      <c r="N154" s="265" t="s">
        <v>636</v>
      </c>
      <c r="O154" s="265" t="s">
        <v>853</v>
      </c>
      <c r="P154" s="264" t="s">
        <v>854</v>
      </c>
      <c r="Q154" s="264" t="s">
        <v>855</v>
      </c>
      <c r="R154" s="264" t="s">
        <v>424</v>
      </c>
      <c r="S154" s="264" t="s">
        <v>425</v>
      </c>
      <c r="T154" s="264">
        <v>1</v>
      </c>
      <c r="U154" s="265">
        <v>1</v>
      </c>
      <c r="V154" s="265">
        <v>0</v>
      </c>
    </row>
    <row r="155" spans="2:22" ht="13.5">
      <c r="B155" s="263" t="s">
        <v>1015</v>
      </c>
      <c r="C155" s="263" t="s">
        <v>1016</v>
      </c>
      <c r="D155" s="263" t="s">
        <v>966</v>
      </c>
      <c r="E155" s="264">
        <v>24</v>
      </c>
      <c r="F155" s="264" t="s">
        <v>414</v>
      </c>
      <c r="G155" s="264">
        <v>10</v>
      </c>
      <c r="H155" s="264" t="s">
        <v>415</v>
      </c>
      <c r="I155" s="264" t="s">
        <v>416</v>
      </c>
      <c r="J155" s="264" t="s">
        <v>927</v>
      </c>
      <c r="K155" s="264" t="s">
        <v>826</v>
      </c>
      <c r="L155" s="264" t="s">
        <v>827</v>
      </c>
      <c r="M155" s="264" t="s">
        <v>538</v>
      </c>
      <c r="N155" s="265" t="s">
        <v>636</v>
      </c>
      <c r="O155" s="265" t="s">
        <v>853</v>
      </c>
      <c r="P155" s="264" t="s">
        <v>856</v>
      </c>
      <c r="Q155" s="264" t="s">
        <v>857</v>
      </c>
      <c r="R155" s="264" t="s">
        <v>424</v>
      </c>
      <c r="S155" s="264" t="s">
        <v>425</v>
      </c>
      <c r="T155" s="264">
        <v>1</v>
      </c>
      <c r="U155" s="265">
        <v>1</v>
      </c>
      <c r="V155" s="265">
        <v>1</v>
      </c>
    </row>
    <row r="156" spans="2:22" ht="13.5">
      <c r="B156" s="263" t="s">
        <v>1015</v>
      </c>
      <c r="C156" s="263" t="s">
        <v>1016</v>
      </c>
      <c r="D156" s="263" t="s">
        <v>966</v>
      </c>
      <c r="E156" s="264">
        <v>24</v>
      </c>
      <c r="F156" s="264" t="s">
        <v>414</v>
      </c>
      <c r="G156" s="264">
        <v>10</v>
      </c>
      <c r="H156" s="264" t="s">
        <v>415</v>
      </c>
      <c r="I156" s="264" t="s">
        <v>416</v>
      </c>
      <c r="J156" s="264" t="s">
        <v>927</v>
      </c>
      <c r="K156" s="264" t="s">
        <v>858</v>
      </c>
      <c r="L156" s="264" t="s">
        <v>859</v>
      </c>
      <c r="M156" s="264" t="s">
        <v>493</v>
      </c>
      <c r="N156" s="265" t="s">
        <v>636</v>
      </c>
      <c r="O156" s="265" t="s">
        <v>853</v>
      </c>
      <c r="P156" s="264" t="s">
        <v>854</v>
      </c>
      <c r="Q156" s="264" t="s">
        <v>855</v>
      </c>
      <c r="R156" s="264" t="s">
        <v>424</v>
      </c>
      <c r="S156" s="264" t="s">
        <v>425</v>
      </c>
      <c r="T156" s="264">
        <v>1</v>
      </c>
      <c r="U156" s="265">
        <v>1</v>
      </c>
      <c r="V156" s="265">
        <v>0</v>
      </c>
    </row>
    <row r="157" spans="2:22" ht="13.5">
      <c r="B157" s="263" t="s">
        <v>1015</v>
      </c>
      <c r="C157" s="263" t="s">
        <v>1016</v>
      </c>
      <c r="D157" s="263" t="s">
        <v>966</v>
      </c>
      <c r="E157" s="264">
        <v>24</v>
      </c>
      <c r="F157" s="264" t="s">
        <v>414</v>
      </c>
      <c r="G157" s="264">
        <v>10</v>
      </c>
      <c r="H157" s="264" t="s">
        <v>415</v>
      </c>
      <c r="I157" s="264" t="s">
        <v>416</v>
      </c>
      <c r="J157" s="264" t="s">
        <v>927</v>
      </c>
      <c r="K157" s="264" t="s">
        <v>860</v>
      </c>
      <c r="L157" s="264" t="s">
        <v>861</v>
      </c>
      <c r="M157" s="264" t="s">
        <v>485</v>
      </c>
      <c r="N157" s="265" t="s">
        <v>636</v>
      </c>
      <c r="O157" s="265" t="s">
        <v>853</v>
      </c>
      <c r="P157" s="264" t="s">
        <v>854</v>
      </c>
      <c r="Q157" s="264" t="s">
        <v>855</v>
      </c>
      <c r="R157" s="264" t="s">
        <v>424</v>
      </c>
      <c r="S157" s="264" t="s">
        <v>425</v>
      </c>
      <c r="T157" s="264">
        <v>1</v>
      </c>
      <c r="U157" s="265">
        <v>1</v>
      </c>
      <c r="V157" s="265">
        <v>0</v>
      </c>
    </row>
    <row r="158" spans="2:22" ht="13.5">
      <c r="B158" s="263" t="s">
        <v>1015</v>
      </c>
      <c r="C158" s="263" t="s">
        <v>1016</v>
      </c>
      <c r="D158" s="263" t="s">
        <v>966</v>
      </c>
      <c r="E158" s="264">
        <v>24</v>
      </c>
      <c r="F158" s="264" t="s">
        <v>414</v>
      </c>
      <c r="G158" s="264">
        <v>10</v>
      </c>
      <c r="H158" s="264" t="s">
        <v>415</v>
      </c>
      <c r="I158" s="264" t="s">
        <v>416</v>
      </c>
      <c r="J158" s="264" t="s">
        <v>927</v>
      </c>
      <c r="K158" s="264" t="s">
        <v>605</v>
      </c>
      <c r="L158" s="264" t="s">
        <v>606</v>
      </c>
      <c r="M158" s="264" t="s">
        <v>493</v>
      </c>
      <c r="N158" s="265" t="s">
        <v>636</v>
      </c>
      <c r="O158" s="265" t="s">
        <v>853</v>
      </c>
      <c r="P158" s="264" t="s">
        <v>854</v>
      </c>
      <c r="Q158" s="264" t="s">
        <v>855</v>
      </c>
      <c r="R158" s="264" t="s">
        <v>424</v>
      </c>
      <c r="S158" s="264" t="s">
        <v>425</v>
      </c>
      <c r="T158" s="264">
        <v>1</v>
      </c>
      <c r="U158" s="265">
        <v>1</v>
      </c>
      <c r="V158" s="265">
        <v>0</v>
      </c>
    </row>
    <row r="159" spans="2:22" ht="13.5">
      <c r="B159" s="263" t="s">
        <v>1017</v>
      </c>
      <c r="C159" s="263" t="s">
        <v>1018</v>
      </c>
      <c r="D159" s="263" t="s">
        <v>967</v>
      </c>
      <c r="E159" s="264">
        <v>19</v>
      </c>
      <c r="F159" s="264" t="s">
        <v>414</v>
      </c>
      <c r="G159" s="264">
        <v>320</v>
      </c>
      <c r="H159" s="264" t="s">
        <v>415</v>
      </c>
      <c r="I159" s="264" t="s">
        <v>416</v>
      </c>
      <c r="J159" s="264" t="s">
        <v>932</v>
      </c>
      <c r="K159" s="264" t="s">
        <v>450</v>
      </c>
      <c r="L159" s="264" t="s">
        <v>451</v>
      </c>
      <c r="M159" s="264" t="s">
        <v>428</v>
      </c>
      <c r="N159" s="265" t="s">
        <v>476</v>
      </c>
      <c r="O159" s="265" t="s">
        <v>523</v>
      </c>
      <c r="P159" s="264" t="s">
        <v>535</v>
      </c>
      <c r="Q159" s="264" t="s">
        <v>536</v>
      </c>
      <c r="R159" s="264" t="s">
        <v>424</v>
      </c>
      <c r="S159" s="264" t="s">
        <v>425</v>
      </c>
      <c r="T159" s="264">
        <v>1</v>
      </c>
      <c r="U159" s="265">
        <v>1</v>
      </c>
      <c r="V159" s="265">
        <v>0</v>
      </c>
    </row>
    <row r="160" spans="2:22" ht="13.5">
      <c r="B160" s="263" t="s">
        <v>1017</v>
      </c>
      <c r="C160" s="263" t="s">
        <v>1018</v>
      </c>
      <c r="D160" s="263" t="s">
        <v>967</v>
      </c>
      <c r="E160" s="264">
        <v>19</v>
      </c>
      <c r="F160" s="264" t="s">
        <v>414</v>
      </c>
      <c r="G160" s="264">
        <v>320</v>
      </c>
      <c r="H160" s="264" t="s">
        <v>415</v>
      </c>
      <c r="I160" s="264" t="s">
        <v>416</v>
      </c>
      <c r="J160" s="264" t="s">
        <v>932</v>
      </c>
      <c r="K160" s="264" t="s">
        <v>558</v>
      </c>
      <c r="L160" s="264" t="s">
        <v>559</v>
      </c>
      <c r="M160" s="264" t="s">
        <v>493</v>
      </c>
      <c r="N160" s="265" t="s">
        <v>476</v>
      </c>
      <c r="O160" s="265" t="s">
        <v>523</v>
      </c>
      <c r="P160" s="264" t="s">
        <v>535</v>
      </c>
      <c r="Q160" s="264" t="s">
        <v>536</v>
      </c>
      <c r="R160" s="264" t="s">
        <v>424</v>
      </c>
      <c r="S160" s="264" t="s">
        <v>425</v>
      </c>
      <c r="T160" s="264">
        <v>1</v>
      </c>
      <c r="U160" s="265">
        <v>1</v>
      </c>
      <c r="V160" s="265">
        <v>0</v>
      </c>
    </row>
    <row r="161" spans="2:22" ht="13.5">
      <c r="B161" s="263" t="s">
        <v>1017</v>
      </c>
      <c r="C161" s="263" t="s">
        <v>1018</v>
      </c>
      <c r="D161" s="263" t="s">
        <v>967</v>
      </c>
      <c r="E161" s="264">
        <v>19</v>
      </c>
      <c r="F161" s="264" t="s">
        <v>414</v>
      </c>
      <c r="G161" s="264">
        <v>320</v>
      </c>
      <c r="H161" s="264" t="s">
        <v>415</v>
      </c>
      <c r="I161" s="264" t="s">
        <v>416</v>
      </c>
      <c r="J161" s="264" t="s">
        <v>932</v>
      </c>
      <c r="K161" s="264" t="s">
        <v>862</v>
      </c>
      <c r="L161" s="264" t="s">
        <v>863</v>
      </c>
      <c r="M161" s="264" t="s">
        <v>493</v>
      </c>
      <c r="N161" s="265" t="s">
        <v>476</v>
      </c>
      <c r="O161" s="265" t="s">
        <v>523</v>
      </c>
      <c r="P161" s="264" t="s">
        <v>535</v>
      </c>
      <c r="Q161" s="264" t="s">
        <v>536</v>
      </c>
      <c r="R161" s="264" t="s">
        <v>424</v>
      </c>
      <c r="S161" s="264" t="s">
        <v>425</v>
      </c>
      <c r="T161" s="264">
        <v>1</v>
      </c>
      <c r="U161" s="265">
        <v>1</v>
      </c>
      <c r="V161" s="265">
        <v>0</v>
      </c>
    </row>
    <row r="162" spans="2:22" ht="13.5">
      <c r="B162" s="263" t="s">
        <v>1017</v>
      </c>
      <c r="C162" s="263" t="s">
        <v>1018</v>
      </c>
      <c r="D162" s="263" t="s">
        <v>967</v>
      </c>
      <c r="E162" s="264">
        <v>19</v>
      </c>
      <c r="F162" s="264" t="s">
        <v>414</v>
      </c>
      <c r="G162" s="264">
        <v>320</v>
      </c>
      <c r="H162" s="264" t="s">
        <v>415</v>
      </c>
      <c r="I162" s="264" t="s">
        <v>416</v>
      </c>
      <c r="J162" s="264" t="s">
        <v>932</v>
      </c>
      <c r="K162" s="264" t="s">
        <v>813</v>
      </c>
      <c r="L162" s="264" t="s">
        <v>814</v>
      </c>
      <c r="M162" s="264" t="s">
        <v>493</v>
      </c>
      <c r="N162" s="265" t="s">
        <v>476</v>
      </c>
      <c r="O162" s="265" t="s">
        <v>523</v>
      </c>
      <c r="P162" s="264" t="s">
        <v>535</v>
      </c>
      <c r="Q162" s="264" t="s">
        <v>536</v>
      </c>
      <c r="R162" s="264" t="s">
        <v>424</v>
      </c>
      <c r="S162" s="264" t="s">
        <v>425</v>
      </c>
      <c r="T162" s="264">
        <v>1</v>
      </c>
      <c r="U162" s="265">
        <v>1</v>
      </c>
      <c r="V162" s="265">
        <v>0</v>
      </c>
    </row>
    <row r="163" spans="2:22" ht="13.5">
      <c r="B163" s="263" t="s">
        <v>1017</v>
      </c>
      <c r="C163" s="263" t="s">
        <v>1018</v>
      </c>
      <c r="D163" s="263" t="s">
        <v>967</v>
      </c>
      <c r="E163" s="264">
        <v>19</v>
      </c>
      <c r="F163" s="264" t="s">
        <v>414</v>
      </c>
      <c r="G163" s="264">
        <v>320</v>
      </c>
      <c r="H163" s="264" t="s">
        <v>415</v>
      </c>
      <c r="I163" s="264" t="s">
        <v>416</v>
      </c>
      <c r="J163" s="264" t="s">
        <v>932</v>
      </c>
      <c r="K163" s="264" t="s">
        <v>626</v>
      </c>
      <c r="L163" s="264" t="s">
        <v>627</v>
      </c>
      <c r="M163" s="264" t="s">
        <v>510</v>
      </c>
      <c r="N163" s="265" t="s">
        <v>476</v>
      </c>
      <c r="O163" s="265" t="s">
        <v>523</v>
      </c>
      <c r="P163" s="264" t="s">
        <v>535</v>
      </c>
      <c r="Q163" s="264" t="s">
        <v>536</v>
      </c>
      <c r="R163" s="264" t="s">
        <v>424</v>
      </c>
      <c r="S163" s="264" t="s">
        <v>425</v>
      </c>
      <c r="T163" s="264">
        <v>1</v>
      </c>
      <c r="U163" s="265">
        <v>1</v>
      </c>
      <c r="V163" s="265">
        <v>1</v>
      </c>
    </row>
    <row r="164" spans="2:22" ht="13.5">
      <c r="B164" s="263" t="s">
        <v>1019</v>
      </c>
      <c r="C164" s="263" t="s">
        <v>1020</v>
      </c>
      <c r="D164" s="263" t="s">
        <v>968</v>
      </c>
      <c r="E164" s="264">
        <v>18</v>
      </c>
      <c r="F164" s="264" t="s">
        <v>414</v>
      </c>
      <c r="G164" s="264">
        <v>180</v>
      </c>
      <c r="H164" s="264" t="s">
        <v>443</v>
      </c>
      <c r="I164" s="264" t="s">
        <v>416</v>
      </c>
      <c r="J164" s="264" t="s">
        <v>923</v>
      </c>
      <c r="K164" s="264" t="s">
        <v>864</v>
      </c>
      <c r="L164" s="264" t="s">
        <v>865</v>
      </c>
      <c r="M164" s="264" t="s">
        <v>482</v>
      </c>
      <c r="N164" s="265" t="s">
        <v>819</v>
      </c>
      <c r="O164" s="265" t="s">
        <v>866</v>
      </c>
      <c r="P164" s="264" t="s">
        <v>867</v>
      </c>
      <c r="Q164" s="264" t="s">
        <v>822</v>
      </c>
      <c r="R164" s="264" t="s">
        <v>424</v>
      </c>
      <c r="S164" s="264" t="s">
        <v>425</v>
      </c>
      <c r="T164" s="264">
        <v>1</v>
      </c>
      <c r="U164" s="265">
        <v>1</v>
      </c>
      <c r="V164" s="265">
        <v>0</v>
      </c>
    </row>
    <row r="165" spans="2:22" ht="13.5">
      <c r="B165" s="263" t="s">
        <v>1019</v>
      </c>
      <c r="C165" s="263" t="s">
        <v>1020</v>
      </c>
      <c r="D165" s="263" t="s">
        <v>968</v>
      </c>
      <c r="E165" s="264">
        <v>18</v>
      </c>
      <c r="F165" s="264" t="s">
        <v>414</v>
      </c>
      <c r="G165" s="264">
        <v>180</v>
      </c>
      <c r="H165" s="264" t="s">
        <v>443</v>
      </c>
      <c r="I165" s="264" t="s">
        <v>416</v>
      </c>
      <c r="J165" s="264" t="s">
        <v>923</v>
      </c>
      <c r="K165" s="264" t="s">
        <v>762</v>
      </c>
      <c r="L165" s="264" t="s">
        <v>763</v>
      </c>
      <c r="M165" s="264" t="s">
        <v>482</v>
      </c>
      <c r="N165" s="265" t="s">
        <v>446</v>
      </c>
      <c r="O165" s="265" t="s">
        <v>868</v>
      </c>
      <c r="P165" s="264" t="s">
        <v>869</v>
      </c>
      <c r="Q165" s="264" t="s">
        <v>822</v>
      </c>
      <c r="R165" s="264" t="s">
        <v>424</v>
      </c>
      <c r="S165" s="264" t="s">
        <v>425</v>
      </c>
      <c r="T165" s="264">
        <v>1</v>
      </c>
      <c r="U165" s="265">
        <v>1</v>
      </c>
      <c r="V165" s="265">
        <v>0</v>
      </c>
    </row>
    <row r="166" spans="2:22" ht="13.5">
      <c r="B166" s="263" t="s">
        <v>1019</v>
      </c>
      <c r="C166" s="263" t="s">
        <v>1020</v>
      </c>
      <c r="D166" s="263" t="s">
        <v>968</v>
      </c>
      <c r="E166" s="264">
        <v>18</v>
      </c>
      <c r="F166" s="264" t="s">
        <v>414</v>
      </c>
      <c r="G166" s="264">
        <v>180</v>
      </c>
      <c r="H166" s="264" t="s">
        <v>443</v>
      </c>
      <c r="I166" s="264" t="s">
        <v>416</v>
      </c>
      <c r="J166" s="264" t="s">
        <v>923</v>
      </c>
      <c r="K166" s="264" t="s">
        <v>870</v>
      </c>
      <c r="L166" s="264" t="s">
        <v>871</v>
      </c>
      <c r="M166" s="264" t="s">
        <v>482</v>
      </c>
      <c r="N166" s="265" t="s">
        <v>497</v>
      </c>
      <c r="O166" s="265" t="s">
        <v>573</v>
      </c>
      <c r="P166" s="264" t="s">
        <v>872</v>
      </c>
      <c r="Q166" s="264" t="s">
        <v>822</v>
      </c>
      <c r="R166" s="264" t="s">
        <v>424</v>
      </c>
      <c r="S166" s="264" t="s">
        <v>425</v>
      </c>
      <c r="T166" s="264">
        <v>1</v>
      </c>
      <c r="U166" s="265">
        <v>1</v>
      </c>
      <c r="V166" s="265">
        <v>0</v>
      </c>
    </row>
    <row r="167" spans="2:22" ht="13.5">
      <c r="B167" s="263" t="s">
        <v>1019</v>
      </c>
      <c r="C167" s="263" t="s">
        <v>1020</v>
      </c>
      <c r="D167" s="263" t="s">
        <v>968</v>
      </c>
      <c r="E167" s="264">
        <v>18</v>
      </c>
      <c r="F167" s="264" t="s">
        <v>414</v>
      </c>
      <c r="G167" s="264">
        <v>180</v>
      </c>
      <c r="H167" s="264" t="s">
        <v>443</v>
      </c>
      <c r="I167" s="264" t="s">
        <v>416</v>
      </c>
      <c r="J167" s="264" t="s">
        <v>923</v>
      </c>
      <c r="K167" s="264" t="s">
        <v>717</v>
      </c>
      <c r="L167" s="264" t="s">
        <v>718</v>
      </c>
      <c r="M167" s="264" t="s">
        <v>482</v>
      </c>
      <c r="N167" s="265" t="s">
        <v>819</v>
      </c>
      <c r="O167" s="265" t="s">
        <v>820</v>
      </c>
      <c r="P167" s="264" t="s">
        <v>821</v>
      </c>
      <c r="Q167" s="264" t="s">
        <v>822</v>
      </c>
      <c r="R167" s="264" t="s">
        <v>424</v>
      </c>
      <c r="S167" s="264" t="s">
        <v>425</v>
      </c>
      <c r="T167" s="264">
        <v>1</v>
      </c>
      <c r="U167" s="265">
        <v>1</v>
      </c>
      <c r="V167" s="265">
        <v>0</v>
      </c>
    </row>
    <row r="168" spans="2:22" ht="13.5">
      <c r="B168" s="263" t="s">
        <v>1019</v>
      </c>
      <c r="C168" s="263" t="s">
        <v>1020</v>
      </c>
      <c r="D168" s="263" t="s">
        <v>968</v>
      </c>
      <c r="E168" s="264">
        <v>18</v>
      </c>
      <c r="F168" s="264" t="s">
        <v>414</v>
      </c>
      <c r="G168" s="264">
        <v>180</v>
      </c>
      <c r="H168" s="264" t="s">
        <v>443</v>
      </c>
      <c r="I168" s="264" t="s">
        <v>416</v>
      </c>
      <c r="J168" s="264" t="s">
        <v>923</v>
      </c>
      <c r="K168" s="264" t="s">
        <v>768</v>
      </c>
      <c r="L168" s="264" t="s">
        <v>769</v>
      </c>
      <c r="M168" s="264" t="s">
        <v>482</v>
      </c>
      <c r="N168" s="265" t="s">
        <v>819</v>
      </c>
      <c r="O168" s="265" t="s">
        <v>866</v>
      </c>
      <c r="P168" s="264" t="s">
        <v>873</v>
      </c>
      <c r="Q168" s="264" t="s">
        <v>874</v>
      </c>
      <c r="R168" s="264" t="s">
        <v>424</v>
      </c>
      <c r="S168" s="264" t="s">
        <v>425</v>
      </c>
      <c r="T168" s="264">
        <v>1</v>
      </c>
      <c r="U168" s="265">
        <v>1</v>
      </c>
      <c r="V168" s="265">
        <v>0</v>
      </c>
    </row>
    <row r="169" spans="2:22" ht="13.5">
      <c r="B169" s="263" t="s">
        <v>1019</v>
      </c>
      <c r="C169" s="263" t="s">
        <v>1020</v>
      </c>
      <c r="D169" s="263" t="s">
        <v>968</v>
      </c>
      <c r="E169" s="264">
        <v>18</v>
      </c>
      <c r="F169" s="264" t="s">
        <v>414</v>
      </c>
      <c r="G169" s="264">
        <v>180</v>
      </c>
      <c r="H169" s="264" t="s">
        <v>443</v>
      </c>
      <c r="I169" s="264" t="s">
        <v>416</v>
      </c>
      <c r="J169" s="264" t="s">
        <v>923</v>
      </c>
      <c r="K169" s="264" t="s">
        <v>875</v>
      </c>
      <c r="L169" s="264" t="s">
        <v>876</v>
      </c>
      <c r="M169" s="264" t="s">
        <v>482</v>
      </c>
      <c r="N169" s="265" t="s">
        <v>819</v>
      </c>
      <c r="O169" s="265" t="s">
        <v>877</v>
      </c>
      <c r="P169" s="264" t="s">
        <v>878</v>
      </c>
      <c r="Q169" s="264" t="s">
        <v>879</v>
      </c>
      <c r="R169" s="264" t="s">
        <v>424</v>
      </c>
      <c r="S169" s="264" t="s">
        <v>474</v>
      </c>
      <c r="T169" s="264">
        <v>1</v>
      </c>
      <c r="U169" s="265">
        <v>0</v>
      </c>
      <c r="V169" s="265">
        <v>1</v>
      </c>
    </row>
    <row r="170" spans="2:22" ht="13.5">
      <c r="B170" s="263" t="s">
        <v>1021</v>
      </c>
      <c r="C170" s="263" t="s">
        <v>1022</v>
      </c>
      <c r="D170" s="263" t="s">
        <v>969</v>
      </c>
      <c r="E170" s="264">
        <v>19</v>
      </c>
      <c r="F170" s="264" t="s">
        <v>414</v>
      </c>
      <c r="G170" s="264">
        <v>220</v>
      </c>
      <c r="H170" s="264" t="s">
        <v>415</v>
      </c>
      <c r="I170" s="264" t="s">
        <v>416</v>
      </c>
      <c r="J170" s="264" t="s">
        <v>932</v>
      </c>
      <c r="K170" s="264" t="s">
        <v>646</v>
      </c>
      <c r="L170" s="264" t="s">
        <v>647</v>
      </c>
      <c r="M170" s="264" t="s">
        <v>441</v>
      </c>
      <c r="N170" s="265" t="s">
        <v>420</v>
      </c>
      <c r="O170" s="265" t="s">
        <v>799</v>
      </c>
      <c r="P170" s="264" t="s">
        <v>880</v>
      </c>
      <c r="Q170" s="264" t="s">
        <v>881</v>
      </c>
      <c r="R170" s="264" t="s">
        <v>424</v>
      </c>
      <c r="S170" s="264" t="s">
        <v>425</v>
      </c>
      <c r="T170" s="264">
        <v>1</v>
      </c>
      <c r="U170" s="265">
        <v>1</v>
      </c>
      <c r="V170" s="265">
        <v>1</v>
      </c>
    </row>
    <row r="171" spans="2:22" ht="13.5">
      <c r="B171" s="263" t="s">
        <v>1021</v>
      </c>
      <c r="C171" s="263" t="s">
        <v>1022</v>
      </c>
      <c r="D171" s="263" t="s">
        <v>969</v>
      </c>
      <c r="E171" s="264">
        <v>19</v>
      </c>
      <c r="F171" s="264" t="s">
        <v>414</v>
      </c>
      <c r="G171" s="264">
        <v>220</v>
      </c>
      <c r="H171" s="264" t="s">
        <v>415</v>
      </c>
      <c r="I171" s="264" t="s">
        <v>416</v>
      </c>
      <c r="J171" s="264" t="s">
        <v>932</v>
      </c>
      <c r="K171" s="264" t="s">
        <v>882</v>
      </c>
      <c r="L171" s="264" t="s">
        <v>883</v>
      </c>
      <c r="M171" s="264" t="s">
        <v>485</v>
      </c>
      <c r="N171" s="265" t="s">
        <v>636</v>
      </c>
      <c r="O171" s="265" t="s">
        <v>853</v>
      </c>
      <c r="P171" s="264" t="s">
        <v>884</v>
      </c>
      <c r="Q171" s="264" t="s">
        <v>885</v>
      </c>
      <c r="R171" s="264" t="s">
        <v>424</v>
      </c>
      <c r="S171" s="264" t="s">
        <v>425</v>
      </c>
      <c r="T171" s="264">
        <v>1</v>
      </c>
      <c r="U171" s="265">
        <v>1</v>
      </c>
      <c r="V171" s="265">
        <v>0</v>
      </c>
    </row>
    <row r="172" spans="2:22" ht="13.5">
      <c r="B172" s="263" t="s">
        <v>1021</v>
      </c>
      <c r="C172" s="263" t="s">
        <v>1022</v>
      </c>
      <c r="D172" s="263" t="s">
        <v>969</v>
      </c>
      <c r="E172" s="264">
        <v>19</v>
      </c>
      <c r="F172" s="264" t="s">
        <v>414</v>
      </c>
      <c r="G172" s="264">
        <v>220</v>
      </c>
      <c r="H172" s="264" t="s">
        <v>415</v>
      </c>
      <c r="I172" s="264" t="s">
        <v>416</v>
      </c>
      <c r="J172" s="264" t="s">
        <v>932</v>
      </c>
      <c r="K172" s="264" t="s">
        <v>886</v>
      </c>
      <c r="L172" s="264" t="s">
        <v>887</v>
      </c>
      <c r="M172" s="264" t="s">
        <v>441</v>
      </c>
      <c r="N172" s="265" t="s">
        <v>420</v>
      </c>
      <c r="O172" s="265" t="s">
        <v>799</v>
      </c>
      <c r="P172" s="264" t="s">
        <v>888</v>
      </c>
      <c r="Q172" s="264" t="s">
        <v>889</v>
      </c>
      <c r="R172" s="264" t="s">
        <v>424</v>
      </c>
      <c r="S172" s="264" t="s">
        <v>425</v>
      </c>
      <c r="T172" s="264">
        <v>1</v>
      </c>
      <c r="U172" s="265">
        <v>1</v>
      </c>
      <c r="V172" s="265">
        <v>0</v>
      </c>
    </row>
    <row r="173" spans="2:22" ht="13.5">
      <c r="B173" s="263" t="s">
        <v>1023</v>
      </c>
      <c r="C173" s="263" t="s">
        <v>1024</v>
      </c>
      <c r="D173" s="263" t="s">
        <v>970</v>
      </c>
      <c r="E173" s="264">
        <v>17</v>
      </c>
      <c r="F173" s="264" t="s">
        <v>442</v>
      </c>
      <c r="G173" s="264">
        <v>345</v>
      </c>
      <c r="H173" s="264" t="s">
        <v>415</v>
      </c>
      <c r="I173" s="264" t="s">
        <v>416</v>
      </c>
      <c r="J173" s="264" t="s">
        <v>933</v>
      </c>
      <c r="K173" s="264" t="s">
        <v>701</v>
      </c>
      <c r="L173" s="264" t="s">
        <v>702</v>
      </c>
      <c r="M173" s="264" t="s">
        <v>505</v>
      </c>
      <c r="N173" s="265" t="s">
        <v>809</v>
      </c>
      <c r="O173" s="265" t="s">
        <v>890</v>
      </c>
      <c r="P173" s="264" t="s">
        <v>891</v>
      </c>
      <c r="Q173" s="264" t="s">
        <v>892</v>
      </c>
      <c r="R173" s="264" t="s">
        <v>424</v>
      </c>
      <c r="S173" s="264" t="s">
        <v>425</v>
      </c>
      <c r="T173" s="264">
        <v>1</v>
      </c>
      <c r="U173" s="265">
        <v>1</v>
      </c>
      <c r="V173" s="265">
        <v>0</v>
      </c>
    </row>
    <row r="174" spans="2:22" ht="13.5">
      <c r="B174" s="263" t="s">
        <v>1023</v>
      </c>
      <c r="C174" s="263" t="s">
        <v>1024</v>
      </c>
      <c r="D174" s="263" t="s">
        <v>970</v>
      </c>
      <c r="E174" s="264">
        <v>17</v>
      </c>
      <c r="F174" s="264" t="s">
        <v>442</v>
      </c>
      <c r="G174" s="264">
        <v>345</v>
      </c>
      <c r="H174" s="264" t="s">
        <v>415</v>
      </c>
      <c r="I174" s="264" t="s">
        <v>416</v>
      </c>
      <c r="J174" s="264" t="s">
        <v>933</v>
      </c>
      <c r="K174" s="264" t="s">
        <v>745</v>
      </c>
      <c r="L174" s="264" t="s">
        <v>746</v>
      </c>
      <c r="M174" s="264" t="s">
        <v>505</v>
      </c>
      <c r="N174" s="265" t="s">
        <v>639</v>
      </c>
      <c r="O174" s="265" t="s">
        <v>640</v>
      </c>
      <c r="P174" s="264" t="s">
        <v>893</v>
      </c>
      <c r="Q174" s="264" t="s">
        <v>894</v>
      </c>
      <c r="R174" s="264" t="s">
        <v>424</v>
      </c>
      <c r="S174" s="264" t="s">
        <v>425</v>
      </c>
      <c r="T174" s="264">
        <v>1</v>
      </c>
      <c r="U174" s="265">
        <v>1</v>
      </c>
      <c r="V174" s="265">
        <v>0</v>
      </c>
    </row>
    <row r="175" spans="2:22" ht="13.5">
      <c r="B175" s="263" t="s">
        <v>1023</v>
      </c>
      <c r="C175" s="263" t="s">
        <v>1024</v>
      </c>
      <c r="D175" s="263" t="s">
        <v>970</v>
      </c>
      <c r="E175" s="264">
        <v>17</v>
      </c>
      <c r="F175" s="264" t="s">
        <v>442</v>
      </c>
      <c r="G175" s="264">
        <v>345</v>
      </c>
      <c r="H175" s="264" t="s">
        <v>415</v>
      </c>
      <c r="I175" s="264" t="s">
        <v>416</v>
      </c>
      <c r="J175" s="264" t="s">
        <v>933</v>
      </c>
      <c r="K175" s="264" t="s">
        <v>503</v>
      </c>
      <c r="L175" s="264" t="s">
        <v>504</v>
      </c>
      <c r="M175" s="264" t="s">
        <v>505</v>
      </c>
      <c r="N175" s="265" t="s">
        <v>420</v>
      </c>
      <c r="O175" s="265" t="s">
        <v>799</v>
      </c>
      <c r="P175" s="264" t="s">
        <v>895</v>
      </c>
      <c r="Q175" s="264" t="s">
        <v>896</v>
      </c>
      <c r="R175" s="264" t="s">
        <v>424</v>
      </c>
      <c r="S175" s="264" t="s">
        <v>425</v>
      </c>
      <c r="T175" s="264">
        <v>1</v>
      </c>
      <c r="U175" s="265">
        <v>1</v>
      </c>
      <c r="V175" s="265">
        <v>1</v>
      </c>
    </row>
    <row r="176" spans="2:22" ht="13.5">
      <c r="B176" s="263" t="s">
        <v>1023</v>
      </c>
      <c r="C176" s="263" t="s">
        <v>1024</v>
      </c>
      <c r="D176" s="263" t="s">
        <v>970</v>
      </c>
      <c r="E176" s="264">
        <v>17</v>
      </c>
      <c r="F176" s="264" t="s">
        <v>442</v>
      </c>
      <c r="G176" s="264">
        <v>345</v>
      </c>
      <c r="H176" s="264" t="s">
        <v>415</v>
      </c>
      <c r="I176" s="264" t="s">
        <v>416</v>
      </c>
      <c r="J176" s="264" t="s">
        <v>933</v>
      </c>
      <c r="K176" s="264" t="s">
        <v>562</v>
      </c>
      <c r="L176" s="264" t="s">
        <v>563</v>
      </c>
      <c r="M176" s="264" t="s">
        <v>505</v>
      </c>
      <c r="N176" s="265" t="s">
        <v>809</v>
      </c>
      <c r="O176" s="265" t="s">
        <v>890</v>
      </c>
      <c r="P176" s="264" t="s">
        <v>891</v>
      </c>
      <c r="Q176" s="264" t="s">
        <v>892</v>
      </c>
      <c r="R176" s="264" t="s">
        <v>424</v>
      </c>
      <c r="S176" s="264" t="s">
        <v>425</v>
      </c>
      <c r="T176" s="264">
        <v>1</v>
      </c>
      <c r="U176" s="265">
        <v>1</v>
      </c>
      <c r="V176" s="265">
        <v>0</v>
      </c>
    </row>
    <row r="177" spans="2:22" ht="13.5">
      <c r="B177" s="263" t="s">
        <v>1023</v>
      </c>
      <c r="C177" s="263" t="s">
        <v>1024</v>
      </c>
      <c r="D177" s="263" t="s">
        <v>970</v>
      </c>
      <c r="E177" s="264">
        <v>17</v>
      </c>
      <c r="F177" s="264" t="s">
        <v>442</v>
      </c>
      <c r="G177" s="264">
        <v>345</v>
      </c>
      <c r="H177" s="264" t="s">
        <v>415</v>
      </c>
      <c r="I177" s="264" t="s">
        <v>416</v>
      </c>
      <c r="J177" s="264" t="s">
        <v>933</v>
      </c>
      <c r="K177" s="264" t="s">
        <v>897</v>
      </c>
      <c r="L177" s="264" t="s">
        <v>898</v>
      </c>
      <c r="M177" s="264" t="s">
        <v>505</v>
      </c>
      <c r="N177" s="265" t="s">
        <v>809</v>
      </c>
      <c r="O177" s="265" t="s">
        <v>890</v>
      </c>
      <c r="P177" s="264" t="s">
        <v>891</v>
      </c>
      <c r="Q177" s="264" t="s">
        <v>892</v>
      </c>
      <c r="R177" s="264" t="s">
        <v>424</v>
      </c>
      <c r="S177" s="264" t="s">
        <v>425</v>
      </c>
      <c r="T177" s="264">
        <v>1</v>
      </c>
      <c r="U177" s="265">
        <v>1</v>
      </c>
      <c r="V177" s="265">
        <v>0</v>
      </c>
    </row>
    <row r="178" spans="2:22" ht="13.5">
      <c r="B178" s="6" t="s">
        <v>150</v>
      </c>
      <c r="C178" s="263" t="s">
        <v>1025</v>
      </c>
      <c r="D178" s="263" t="s">
        <v>971</v>
      </c>
      <c r="E178" s="264">
        <v>18</v>
      </c>
      <c r="F178" s="264" t="s">
        <v>442</v>
      </c>
      <c r="G178" s="264">
        <v>320</v>
      </c>
      <c r="H178" s="264" t="s">
        <v>415</v>
      </c>
      <c r="I178" s="264" t="s">
        <v>416</v>
      </c>
      <c r="J178" s="264" t="s">
        <v>922</v>
      </c>
      <c r="K178" s="264" t="s">
        <v>435</v>
      </c>
      <c r="L178" s="264" t="s">
        <v>436</v>
      </c>
      <c r="M178" s="264" t="s">
        <v>419</v>
      </c>
      <c r="N178" s="265" t="s">
        <v>730</v>
      </c>
      <c r="O178" s="265" t="s">
        <v>899</v>
      </c>
      <c r="P178" s="264" t="s">
        <v>900</v>
      </c>
      <c r="Q178" s="264" t="s">
        <v>901</v>
      </c>
      <c r="R178" s="264" t="s">
        <v>424</v>
      </c>
      <c r="S178" s="264" t="s">
        <v>425</v>
      </c>
      <c r="T178" s="264">
        <v>1</v>
      </c>
      <c r="U178" s="265">
        <v>1</v>
      </c>
      <c r="V178" s="265">
        <v>0</v>
      </c>
    </row>
    <row r="179" spans="2:22" ht="13.5">
      <c r="B179" s="6" t="s">
        <v>150</v>
      </c>
      <c r="C179" s="263" t="s">
        <v>1025</v>
      </c>
      <c r="D179" s="263" t="s">
        <v>971</v>
      </c>
      <c r="E179" s="264">
        <v>18</v>
      </c>
      <c r="F179" s="264" t="s">
        <v>442</v>
      </c>
      <c r="G179" s="264">
        <v>320</v>
      </c>
      <c r="H179" s="264" t="s">
        <v>415</v>
      </c>
      <c r="I179" s="264" t="s">
        <v>416</v>
      </c>
      <c r="J179" s="264" t="s">
        <v>922</v>
      </c>
      <c r="K179" s="264" t="s">
        <v>491</v>
      </c>
      <c r="L179" s="264" t="s">
        <v>492</v>
      </c>
      <c r="M179" s="264" t="s">
        <v>493</v>
      </c>
      <c r="N179" s="265" t="s">
        <v>470</v>
      </c>
      <c r="O179" s="265" t="s">
        <v>471</v>
      </c>
      <c r="P179" s="264" t="s">
        <v>902</v>
      </c>
      <c r="Q179" s="264" t="s">
        <v>903</v>
      </c>
      <c r="R179" s="264" t="s">
        <v>424</v>
      </c>
      <c r="S179" s="264" t="s">
        <v>425</v>
      </c>
      <c r="T179" s="264">
        <v>1</v>
      </c>
      <c r="U179" s="265">
        <v>1</v>
      </c>
      <c r="V179" s="265">
        <v>0</v>
      </c>
    </row>
    <row r="180" spans="2:22" ht="13.5">
      <c r="B180" s="6" t="s">
        <v>150</v>
      </c>
      <c r="C180" s="263" t="s">
        <v>1025</v>
      </c>
      <c r="D180" s="263" t="s">
        <v>971</v>
      </c>
      <c r="E180" s="264">
        <v>18</v>
      </c>
      <c r="F180" s="264" t="s">
        <v>442</v>
      </c>
      <c r="G180" s="264">
        <v>320</v>
      </c>
      <c r="H180" s="264" t="s">
        <v>415</v>
      </c>
      <c r="I180" s="264" t="s">
        <v>416</v>
      </c>
      <c r="J180" s="264" t="s">
        <v>922</v>
      </c>
      <c r="K180" s="264" t="s">
        <v>904</v>
      </c>
      <c r="L180" s="264" t="s">
        <v>905</v>
      </c>
      <c r="M180" s="264" t="s">
        <v>482</v>
      </c>
      <c r="N180" s="265" t="s">
        <v>470</v>
      </c>
      <c r="O180" s="265" t="s">
        <v>471</v>
      </c>
      <c r="P180" s="264" t="s">
        <v>906</v>
      </c>
      <c r="Q180" s="264" t="s">
        <v>903</v>
      </c>
      <c r="R180" s="264" t="s">
        <v>424</v>
      </c>
      <c r="S180" s="264" t="s">
        <v>425</v>
      </c>
      <c r="T180" s="264">
        <v>1</v>
      </c>
      <c r="U180" s="265">
        <v>1</v>
      </c>
      <c r="V180" s="265">
        <v>0</v>
      </c>
    </row>
    <row r="181" spans="2:22" ht="13.5">
      <c r="B181" s="6" t="s">
        <v>150</v>
      </c>
      <c r="C181" s="263" t="s">
        <v>1025</v>
      </c>
      <c r="D181" s="263" t="s">
        <v>971</v>
      </c>
      <c r="E181" s="264">
        <v>18</v>
      </c>
      <c r="F181" s="264" t="s">
        <v>442</v>
      </c>
      <c r="G181" s="264">
        <v>320</v>
      </c>
      <c r="H181" s="264" t="s">
        <v>415</v>
      </c>
      <c r="I181" s="264" t="s">
        <v>416</v>
      </c>
      <c r="J181" s="264" t="s">
        <v>922</v>
      </c>
      <c r="K181" s="264" t="s">
        <v>456</v>
      </c>
      <c r="L181" s="264" t="s">
        <v>457</v>
      </c>
      <c r="M181" s="264" t="s">
        <v>432</v>
      </c>
      <c r="N181" s="265" t="s">
        <v>636</v>
      </c>
      <c r="O181" s="265" t="s">
        <v>853</v>
      </c>
      <c r="P181" s="264" t="s">
        <v>907</v>
      </c>
      <c r="Q181" s="264" t="s">
        <v>908</v>
      </c>
      <c r="R181" s="264" t="s">
        <v>424</v>
      </c>
      <c r="S181" s="264" t="s">
        <v>425</v>
      </c>
      <c r="T181" s="264">
        <v>1</v>
      </c>
      <c r="U181" s="265">
        <v>1</v>
      </c>
      <c r="V181" s="265">
        <v>0</v>
      </c>
    </row>
    <row r="182" spans="2:22" ht="13.5">
      <c r="B182" s="6" t="s">
        <v>150</v>
      </c>
      <c r="C182" s="263" t="s">
        <v>1025</v>
      </c>
      <c r="D182" s="263" t="s">
        <v>971</v>
      </c>
      <c r="E182" s="264">
        <v>18</v>
      </c>
      <c r="F182" s="264" t="s">
        <v>442</v>
      </c>
      <c r="G182" s="264">
        <v>320</v>
      </c>
      <c r="H182" s="264" t="s">
        <v>415</v>
      </c>
      <c r="I182" s="264" t="s">
        <v>416</v>
      </c>
      <c r="J182" s="264" t="s">
        <v>922</v>
      </c>
      <c r="K182" s="264" t="s">
        <v>904</v>
      </c>
      <c r="L182" s="264" t="s">
        <v>905</v>
      </c>
      <c r="M182" s="264" t="s">
        <v>482</v>
      </c>
      <c r="N182" s="265" t="s">
        <v>470</v>
      </c>
      <c r="O182" s="265" t="s">
        <v>471</v>
      </c>
      <c r="P182" s="264" t="s">
        <v>909</v>
      </c>
      <c r="Q182" s="264" t="s">
        <v>910</v>
      </c>
      <c r="R182" s="264" t="s">
        <v>424</v>
      </c>
      <c r="S182" s="264" t="s">
        <v>425</v>
      </c>
      <c r="T182" s="264">
        <v>1</v>
      </c>
      <c r="U182" s="265">
        <v>1</v>
      </c>
      <c r="V182" s="265">
        <v>1</v>
      </c>
    </row>
    <row r="183" spans="2:22" ht="13.5">
      <c r="B183" s="6" t="s">
        <v>1026</v>
      </c>
      <c r="C183" s="263" t="s">
        <v>1027</v>
      </c>
      <c r="D183" s="263" t="s">
        <v>972</v>
      </c>
      <c r="E183" s="264">
        <v>21</v>
      </c>
      <c r="F183" s="264" t="s">
        <v>442</v>
      </c>
      <c r="G183" s="264">
        <v>0</v>
      </c>
      <c r="H183" s="264" t="s">
        <v>415</v>
      </c>
      <c r="I183" s="264" t="s">
        <v>416</v>
      </c>
      <c r="J183" s="264" t="s">
        <v>927</v>
      </c>
      <c r="K183" s="264" t="s">
        <v>741</v>
      </c>
      <c r="L183" s="264" t="s">
        <v>742</v>
      </c>
      <c r="M183" s="264" t="s">
        <v>505</v>
      </c>
      <c r="N183" s="265" t="s">
        <v>476</v>
      </c>
      <c r="O183" s="265" t="s">
        <v>911</v>
      </c>
      <c r="P183" s="264" t="s">
        <v>912</v>
      </c>
      <c r="Q183" s="264" t="s">
        <v>913</v>
      </c>
      <c r="R183" s="264" t="s">
        <v>914</v>
      </c>
      <c r="S183" s="264" t="s">
        <v>425</v>
      </c>
      <c r="T183" s="264">
        <v>1</v>
      </c>
      <c r="U183" s="265">
        <v>1</v>
      </c>
      <c r="V183" s="265">
        <v>1</v>
      </c>
    </row>
    <row r="184" spans="2:22" ht="13.5">
      <c r="B184" s="6" t="s">
        <v>1026</v>
      </c>
      <c r="C184" s="263" t="s">
        <v>1027</v>
      </c>
      <c r="D184" s="263" t="s">
        <v>972</v>
      </c>
      <c r="E184" s="264">
        <v>21</v>
      </c>
      <c r="F184" s="264" t="s">
        <v>442</v>
      </c>
      <c r="G184" s="264">
        <v>0</v>
      </c>
      <c r="H184" s="264" t="s">
        <v>415</v>
      </c>
      <c r="I184" s="264" t="s">
        <v>416</v>
      </c>
      <c r="J184" s="264" t="s">
        <v>927</v>
      </c>
      <c r="K184" s="264" t="s">
        <v>741</v>
      </c>
      <c r="L184" s="264" t="s">
        <v>742</v>
      </c>
      <c r="M184" s="264" t="s">
        <v>505</v>
      </c>
      <c r="N184" s="265" t="s">
        <v>616</v>
      </c>
      <c r="O184" s="265" t="s">
        <v>660</v>
      </c>
      <c r="P184" s="264" t="s">
        <v>915</v>
      </c>
      <c r="Q184" s="264" t="s">
        <v>916</v>
      </c>
      <c r="R184" s="264" t="s">
        <v>424</v>
      </c>
      <c r="S184" s="264" t="s">
        <v>425</v>
      </c>
      <c r="T184" s="264">
        <v>1</v>
      </c>
      <c r="U184" s="265">
        <v>1</v>
      </c>
      <c r="V184" s="265">
        <v>0</v>
      </c>
    </row>
    <row r="185" spans="2:22" ht="13.5">
      <c r="B185" s="6" t="s">
        <v>1028</v>
      </c>
      <c r="C185" s="263" t="s">
        <v>149</v>
      </c>
      <c r="D185" s="263" t="s">
        <v>973</v>
      </c>
      <c r="E185" s="264">
        <v>59</v>
      </c>
      <c r="F185" s="264" t="s">
        <v>414</v>
      </c>
      <c r="G185" s="264">
        <v>0</v>
      </c>
      <c r="H185" s="264" t="s">
        <v>443</v>
      </c>
      <c r="I185" s="264" t="s">
        <v>416</v>
      </c>
      <c r="J185" s="264" t="s">
        <v>923</v>
      </c>
      <c r="K185" s="264" t="s">
        <v>870</v>
      </c>
      <c r="L185" s="264" t="s">
        <v>871</v>
      </c>
      <c r="M185" s="264" t="s">
        <v>482</v>
      </c>
      <c r="N185" s="265" t="s">
        <v>819</v>
      </c>
      <c r="O185" s="265" t="s">
        <v>917</v>
      </c>
      <c r="P185" s="264" t="s">
        <v>918</v>
      </c>
      <c r="Q185" s="264" t="s">
        <v>919</v>
      </c>
      <c r="R185" s="264" t="s">
        <v>424</v>
      </c>
      <c r="S185" s="264" t="s">
        <v>425</v>
      </c>
      <c r="T185" s="264">
        <v>1</v>
      </c>
      <c r="U185" s="265">
        <v>1</v>
      </c>
      <c r="V185" s="265">
        <v>1</v>
      </c>
    </row>
  </sheetData>
  <sheetProtection/>
  <autoFilter ref="B10:V185"/>
  <dataValidations count="21">
    <dataValidation allowBlank="1" showInputMessage="1" showErrorMessage="1" promptTitle="accepted count" prompt="a count of the acceptances" sqref="V10"/>
    <dataValidation allowBlank="1" showInputMessage="1" showErrorMessage="1" promptTitle="choices count" prompt="a count of mainscheme choices (applications)" sqref="U10"/>
    <dataValidation allowBlank="1" showInputMessage="1" showErrorMessage="1" promptTitle="overall count" prompt="a count of all rows in the application listing table" sqref="T10"/>
    <dataValidation allowBlank="1" showInputMessage="1" showErrorMessage="1" promptTitle="Age" prompt="Age as at 30th September" sqref="E10"/>
    <dataValidation allowBlank="1" showInputMessage="1" showErrorMessage="1" promptTitle="Gender" prompt="Applicant gender" sqref="F10"/>
    <dataValidation allowBlank="1" showInputMessage="1" showErrorMessage="1" promptTitle="Tariff score" prompt="Applicant tariff score from the Awarding Body Linkage" sqref="G10"/>
    <dataValidation allowBlank="1" showInputMessage="1" showErrorMessage="1" promptTitle="Ethnicity" prompt="Applicant ethnic group" sqref="H10"/>
    <dataValidation allowBlank="1" showInputMessage="1" showErrorMessage="1" promptTitle="Disability" prompt="Applicant disability" sqref="I10"/>
    <dataValidation allowBlank="1" showInputMessage="1" showErrorMessage="1" promptTitle="Postcode" prompt="Applicant postcode" sqref="J10"/>
    <dataValidation allowBlank="1" showInputMessage="1" showErrorMessage="1" promptTitle="HEI name" prompt="Institution code and name applied to/accepted at" sqref="L10"/>
    <dataValidation allowBlank="1" showInputMessage="1" showErrorMessage="1" promptTitle="JACS2 subject group" prompt="JACS2 subject group for the course applied to/accepted at" sqref="N10"/>
    <dataValidation allowBlank="1" showInputMessage="1" showErrorMessage="1" promptTitle="JACS2 subject line" prompt="JACS2 subject line for the course applied to/accepted at" sqref="O10"/>
    <dataValidation allowBlank="1" showInputMessage="1" showErrorMessage="1" promptTitle="Course code" prompt="Course code applied to/accepted at" sqref="P10"/>
    <dataValidation allowBlank="1" showInputMessage="1" showErrorMessage="1" promptTitle="Course title" prompt="Course title applied to/accepted at" sqref="Q10"/>
    <dataValidation allowBlank="1" showInputMessage="1" showErrorMessage="1" promptTitle="Qualification type" prompt="Qualification type of the course applied to/accepted at" sqref="R10"/>
    <dataValidation allowBlank="1" showInputMessage="1" showErrorMessage="1" promptTitle="Route" prompt="Route through which the course was applied to/accepted at. Route A and B are through the mainscheme, all other routes are direct (eg clearing)." sqref="S10"/>
    <dataValidation allowBlank="1" showInputMessage="1" showErrorMessage="1" promptTitle="appno" prompt="UCAS application code" sqref="D10"/>
    <dataValidation allowBlank="1" showInputMessage="1" showErrorMessage="1" promptTitle="First name" prompt="Applicant first name" sqref="B10"/>
    <dataValidation allowBlank="1" showInputMessage="1" showErrorMessage="1" promptTitle="Surname" prompt="Applicant surname" sqref="C10"/>
    <dataValidation allowBlank="1" showInputMessage="1" showErrorMessage="1" promptTitle="HEI code" prompt="UCAS institution code applied to/accepted at" sqref="K10"/>
    <dataValidation allowBlank="1" showInputMessage="1" showErrorMessage="1" promptTitle="HEI region" prompt="Institution region applied to/accepted at" sqref="M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colBreaks count="2" manualBreakCount="2">
    <brk id="9" max="47" man="1"/>
    <brk id="17" max="4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theme="0"/>
    <pageSetUpPr fitToPage="1"/>
  </sheetPr>
  <dimension ref="B2:E19"/>
  <sheetViews>
    <sheetView showGridLines="0" showRowColHeaders="0" zoomScalePageLayoutView="0" workbookViewId="0" topLeftCell="A1">
      <selection activeCell="D7" sqref="D7"/>
    </sheetView>
  </sheetViews>
  <sheetFormatPr defaultColWidth="9.140625" defaultRowHeight="12.75"/>
  <cols>
    <col min="1" max="1" width="3.140625" style="111" customWidth="1"/>
    <col min="2" max="2" width="18.8515625" style="111" customWidth="1"/>
    <col min="3" max="3" width="29.00390625" style="111" customWidth="1"/>
    <col min="4" max="4" width="19.57421875" style="111" bestFit="1" customWidth="1"/>
    <col min="5" max="7" width="19.8515625" style="111" customWidth="1"/>
    <col min="8" max="9" width="19.00390625" style="111" bestFit="1" customWidth="1"/>
    <col min="10" max="10" width="23.140625" style="111" bestFit="1" customWidth="1"/>
    <col min="11" max="11" width="23.7109375" style="111" bestFit="1" customWidth="1"/>
    <col min="12" max="13" width="19.00390625" style="111" bestFit="1" customWidth="1"/>
    <col min="14" max="14" width="23.140625" style="111" bestFit="1" customWidth="1"/>
    <col min="15" max="15" width="23.7109375" style="111" bestFit="1" customWidth="1"/>
    <col min="16" max="16384" width="9.140625" style="111" customWidth="1"/>
  </cols>
  <sheetData>
    <row r="2" ht="15">
      <c r="B2" s="48" t="s">
        <v>274</v>
      </c>
    </row>
    <row r="6" ht="13.5">
      <c r="B6" s="111" t="s">
        <v>1620</v>
      </c>
    </row>
    <row r="8" spans="2:5" ht="13.5">
      <c r="B8" s="268" t="s">
        <v>271</v>
      </c>
      <c r="C8" s="269" t="s">
        <v>283</v>
      </c>
      <c r="E8" s="287" t="s">
        <v>1618</v>
      </c>
    </row>
    <row r="9" spans="2:5" ht="13.5">
      <c r="B9" s="268" t="s">
        <v>272</v>
      </c>
      <c r="C9" s="269" t="s">
        <v>283</v>
      </c>
      <c r="E9" s="288" t="s">
        <v>1619</v>
      </c>
    </row>
    <row r="10" spans="2:3" ht="13.5">
      <c r="B10" s="268" t="s">
        <v>82</v>
      </c>
      <c r="C10" s="269" t="s">
        <v>283</v>
      </c>
    </row>
    <row r="11" spans="2:3" ht="13.5">
      <c r="B11" s="268" t="s">
        <v>83</v>
      </c>
      <c r="C11" s="269" t="s">
        <v>283</v>
      </c>
    </row>
    <row r="12" spans="2:3" ht="13.5">
      <c r="B12" s="268" t="s">
        <v>81</v>
      </c>
      <c r="C12" s="269" t="s">
        <v>283</v>
      </c>
    </row>
    <row r="14" spans="2:5" ht="13.5" hidden="1">
      <c r="B14" s="270"/>
      <c r="C14" s="271" t="s">
        <v>284</v>
      </c>
      <c r="D14" s="272"/>
      <c r="E14" s="273"/>
    </row>
    <row r="15" spans="2:5" ht="13.5">
      <c r="B15" s="271" t="s">
        <v>85</v>
      </c>
      <c r="C15" s="270" t="s">
        <v>285</v>
      </c>
      <c r="D15" s="274" t="s">
        <v>286</v>
      </c>
      <c r="E15" s="275" t="s">
        <v>287</v>
      </c>
    </row>
    <row r="16" spans="2:5" ht="13.5">
      <c r="B16" s="270" t="s">
        <v>425</v>
      </c>
      <c r="C16" s="276">
        <v>169</v>
      </c>
      <c r="D16" s="277">
        <v>169</v>
      </c>
      <c r="E16" s="278">
        <v>26</v>
      </c>
    </row>
    <row r="17" spans="2:5" ht="13.5">
      <c r="B17" s="279" t="s">
        <v>474</v>
      </c>
      <c r="C17" s="280">
        <v>5</v>
      </c>
      <c r="D17" s="281">
        <v>0</v>
      </c>
      <c r="E17" s="282">
        <v>5</v>
      </c>
    </row>
    <row r="18" spans="2:5" ht="13.5">
      <c r="B18" s="279" t="s">
        <v>675</v>
      </c>
      <c r="C18" s="280">
        <v>1</v>
      </c>
      <c r="D18" s="281">
        <v>0</v>
      </c>
      <c r="E18" s="282">
        <v>1</v>
      </c>
    </row>
    <row r="19" spans="2:5" ht="13.5">
      <c r="B19" s="283" t="s">
        <v>288</v>
      </c>
      <c r="C19" s="284">
        <v>175</v>
      </c>
      <c r="D19" s="285">
        <v>169</v>
      </c>
      <c r="E19" s="286">
        <v>32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katel</dc:creator>
  <cp:keywords/>
  <dc:description/>
  <cp:lastModifiedBy>trudiw</cp:lastModifiedBy>
  <cp:lastPrinted>2012-11-23T14:18:14Z</cp:lastPrinted>
  <dcterms:created xsi:type="dcterms:W3CDTF">2009-01-26T15:21:19Z</dcterms:created>
  <dcterms:modified xsi:type="dcterms:W3CDTF">2014-10-27T15:32:38Z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